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My Drive\Team Folder - Investor Relations\Financials &amp; Valuation\IR Model\"/>
    </mc:Choice>
  </mc:AlternateContent>
  <xr:revisionPtr revIDLastSave="0" documentId="8_{AB9B00B2-FB56-4210-86BF-2331EEA32199}" xr6:coauthVersionLast="44" xr6:coauthVersionMax="44" xr10:uidLastSave="{00000000-0000-0000-0000-000000000000}"/>
  <bookViews>
    <workbookView xWindow="-120" yWindow="-120" windowWidth="29040" windowHeight="15840" xr2:uid="{00000000-000D-0000-FFFF-FFFF00000000}"/>
  </bookViews>
  <sheets>
    <sheet name="Cover Page" sheetId="1" r:id="rId1"/>
    <sheet name="GAAP IS" sheetId="2" r:id="rId2"/>
    <sheet name="Non-GAAP IS" sheetId="3" r:id="rId3"/>
    <sheet name="Operating Metrics" sheetId="4" r:id="rId4"/>
    <sheet name="Pro Forma ex-Caviar"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4" i="5" l="1"/>
  <c r="I53" i="5"/>
  <c r="G53" i="5"/>
  <c r="E39" i="5"/>
  <c r="A39" i="5"/>
  <c r="H35" i="5"/>
  <c r="H39" i="5" s="1"/>
  <c r="D35" i="5"/>
  <c r="D39" i="5" s="1"/>
  <c r="H32" i="5"/>
  <c r="J31" i="5"/>
  <c r="J35" i="5" s="1"/>
  <c r="J39" i="5" s="1"/>
  <c r="I31" i="5"/>
  <c r="I35" i="5" s="1"/>
  <c r="I39" i="5" s="1"/>
  <c r="H31" i="5"/>
  <c r="G31" i="5"/>
  <c r="G35" i="5" s="1"/>
  <c r="G39" i="5" s="1"/>
  <c r="F31" i="5"/>
  <c r="F35" i="5" s="1"/>
  <c r="F39" i="5" s="1"/>
  <c r="E31" i="5"/>
  <c r="E35" i="5" s="1"/>
  <c r="D31" i="5"/>
  <c r="C31" i="5"/>
  <c r="C35" i="5" s="1"/>
  <c r="C39" i="5" s="1"/>
  <c r="H27" i="5"/>
  <c r="I16" i="5"/>
  <c r="H16" i="5"/>
  <c r="G16" i="5"/>
  <c r="F16" i="5"/>
  <c r="E16" i="5"/>
  <c r="D16" i="5"/>
  <c r="C16" i="5"/>
  <c r="J15" i="5"/>
  <c r="F13" i="5"/>
  <c r="J12" i="5"/>
  <c r="I12" i="5"/>
  <c r="H12" i="5"/>
  <c r="G12" i="5"/>
  <c r="F12" i="5"/>
  <c r="E12" i="5"/>
  <c r="D12" i="5"/>
  <c r="C12" i="5"/>
  <c r="J11" i="5"/>
  <c r="I11" i="5"/>
  <c r="I13" i="5" s="1"/>
  <c r="I54" i="5" s="1"/>
  <c r="H11" i="5"/>
  <c r="G11" i="5"/>
  <c r="G13" i="5" s="1"/>
  <c r="F11" i="5"/>
  <c r="E11" i="5"/>
  <c r="E13" i="5" s="1"/>
  <c r="D11" i="5"/>
  <c r="D13" i="5" s="1"/>
  <c r="C11" i="5"/>
  <c r="C13" i="5" s="1"/>
  <c r="V30" i="4"/>
  <c r="U30" i="4"/>
  <c r="T30" i="4"/>
  <c r="S30" i="4"/>
  <c r="R30" i="4"/>
  <c r="Q30" i="4"/>
  <c r="P30" i="4"/>
  <c r="O30" i="4"/>
  <c r="W27" i="4"/>
  <c r="W32" i="4" s="1"/>
  <c r="S27" i="4"/>
  <c r="O27" i="4"/>
  <c r="O32" i="4" s="1"/>
  <c r="K27" i="4"/>
  <c r="G27" i="4"/>
  <c r="C27" i="4"/>
  <c r="W25" i="4"/>
  <c r="V25" i="4"/>
  <c r="U25" i="4"/>
  <c r="T25" i="4"/>
  <c r="S25" i="4"/>
  <c r="R25" i="4"/>
  <c r="Q25" i="4"/>
  <c r="P25" i="4"/>
  <c r="O25" i="4"/>
  <c r="N25" i="4"/>
  <c r="M25" i="4"/>
  <c r="L25" i="4"/>
  <c r="K25" i="4"/>
  <c r="J25" i="4"/>
  <c r="I25" i="4"/>
  <c r="H25" i="4"/>
  <c r="G25" i="4"/>
  <c r="AC24" i="4"/>
  <c r="AB24" i="4"/>
  <c r="AA24" i="4"/>
  <c r="Z24" i="4"/>
  <c r="Z25" i="4" s="1"/>
  <c r="Y24" i="4"/>
  <c r="AC23" i="4"/>
  <c r="W23" i="4"/>
  <c r="V23" i="4"/>
  <c r="V27" i="4" s="1"/>
  <c r="U23" i="4"/>
  <c r="U27" i="4" s="1"/>
  <c r="T23" i="4"/>
  <c r="T27" i="4" s="1"/>
  <c r="S23" i="4"/>
  <c r="R23" i="4"/>
  <c r="R27" i="4" s="1"/>
  <c r="Q23" i="4"/>
  <c r="Q27" i="4" s="1"/>
  <c r="P23" i="4"/>
  <c r="P27" i="4" s="1"/>
  <c r="O23" i="4"/>
  <c r="AB23" i="4" s="1"/>
  <c r="N23" i="4"/>
  <c r="N27" i="4" s="1"/>
  <c r="M23" i="4"/>
  <c r="M27" i="4" s="1"/>
  <c r="L23" i="4"/>
  <c r="L27" i="4" s="1"/>
  <c r="K23" i="4"/>
  <c r="J23" i="4"/>
  <c r="J27" i="4" s="1"/>
  <c r="I23" i="4"/>
  <c r="I27" i="4" s="1"/>
  <c r="H23" i="4"/>
  <c r="H27" i="4" s="1"/>
  <c r="G23" i="4"/>
  <c r="F23" i="4"/>
  <c r="F27" i="4" s="1"/>
  <c r="E23" i="4"/>
  <c r="E27" i="4" s="1"/>
  <c r="D23" i="4"/>
  <c r="D27" i="4" s="1"/>
  <c r="C23" i="4"/>
  <c r="W20" i="4"/>
  <c r="W21" i="4" s="1"/>
  <c r="V20" i="4"/>
  <c r="V21" i="4" s="1"/>
  <c r="U20" i="4"/>
  <c r="U21" i="4" s="1"/>
  <c r="T20" i="4"/>
  <c r="T21" i="4" s="1"/>
  <c r="Z11" i="4"/>
  <c r="W11" i="4"/>
  <c r="V11" i="4"/>
  <c r="U11" i="4"/>
  <c r="T11" i="4"/>
  <c r="S11" i="4"/>
  <c r="R11" i="4"/>
  <c r="Q11" i="4"/>
  <c r="P11" i="4"/>
  <c r="O11" i="4"/>
  <c r="N11" i="4"/>
  <c r="M11" i="4"/>
  <c r="L11" i="4"/>
  <c r="K11" i="4"/>
  <c r="J11" i="4"/>
  <c r="I11" i="4"/>
  <c r="H11" i="4"/>
  <c r="G11" i="4"/>
  <c r="AC10" i="4"/>
  <c r="AC11" i="4" s="1"/>
  <c r="AB10" i="4"/>
  <c r="AA10" i="4"/>
  <c r="AA11" i="4" s="1"/>
  <c r="Z10" i="4"/>
  <c r="Y10" i="4"/>
  <c r="AE5" i="4"/>
  <c r="D5" i="4"/>
  <c r="AC88" i="3"/>
  <c r="AB88" i="3"/>
  <c r="AC86" i="3"/>
  <c r="AB86" i="3"/>
  <c r="AC85" i="3"/>
  <c r="AB85" i="3"/>
  <c r="AC84" i="3"/>
  <c r="AB84" i="3"/>
  <c r="AC83" i="3"/>
  <c r="AB83" i="3"/>
  <c r="AC82" i="3"/>
  <c r="AB82" i="3"/>
  <c r="AC81" i="3"/>
  <c r="AB81" i="3"/>
  <c r="AA81" i="3"/>
  <c r="Z81" i="3"/>
  <c r="AC80" i="3"/>
  <c r="AB80" i="3"/>
  <c r="AC79" i="3"/>
  <c r="AB79" i="3"/>
  <c r="AC78" i="3"/>
  <c r="AB78" i="3"/>
  <c r="AA78" i="3"/>
  <c r="Z77" i="3"/>
  <c r="AC76" i="3"/>
  <c r="AB76" i="3"/>
  <c r="AA76" i="3"/>
  <c r="Z76" i="3"/>
  <c r="AC75" i="3"/>
  <c r="AB75" i="3"/>
  <c r="AA75" i="3"/>
  <c r="Z75" i="3"/>
  <c r="Z74" i="3"/>
  <c r="Z73" i="3"/>
  <c r="AC68" i="3"/>
  <c r="AB68" i="3"/>
  <c r="AC67" i="3"/>
  <c r="AB67" i="3"/>
  <c r="AC66" i="3"/>
  <c r="AB66" i="3"/>
  <c r="AC63" i="3"/>
  <c r="AB63" i="3"/>
  <c r="AA63" i="3"/>
  <c r="Z63" i="3"/>
  <c r="Y63" i="3"/>
  <c r="AC62" i="3"/>
  <c r="AB62" i="3"/>
  <c r="AA62" i="3"/>
  <c r="Z62" i="3"/>
  <c r="Y62" i="3"/>
  <c r="AC61" i="3"/>
  <c r="AB61" i="3"/>
  <c r="AA61" i="3"/>
  <c r="Z61" i="3"/>
  <c r="Y61" i="3"/>
  <c r="AC60" i="3"/>
  <c r="AB60" i="3"/>
  <c r="AA60" i="3"/>
  <c r="Z60" i="3"/>
  <c r="Y60" i="3"/>
  <c r="Z59" i="3"/>
  <c r="AC58" i="3"/>
  <c r="AB58" i="3"/>
  <c r="AA58" i="3"/>
  <c r="Z58" i="3"/>
  <c r="Y58" i="3"/>
  <c r="AC57" i="3"/>
  <c r="AB57" i="3"/>
  <c r="AA57" i="3"/>
  <c r="Z57" i="3"/>
  <c r="Y57" i="3"/>
  <c r="Z56" i="3"/>
  <c r="Y56" i="3"/>
  <c r="Z55" i="3"/>
  <c r="Y55" i="3"/>
  <c r="V51" i="3"/>
  <c r="T51" i="3"/>
  <c r="R51" i="3"/>
  <c r="P51" i="3"/>
  <c r="N51" i="3"/>
  <c r="L51" i="3"/>
  <c r="J51" i="3"/>
  <c r="H51" i="3"/>
  <c r="F51" i="3"/>
  <c r="D51" i="3"/>
  <c r="AC50" i="3"/>
  <c r="AB50" i="3"/>
  <c r="AA50" i="3"/>
  <c r="Z50" i="3"/>
  <c r="Y50" i="3"/>
  <c r="AC49" i="3"/>
  <c r="AB49" i="3"/>
  <c r="AA49" i="3"/>
  <c r="Z49" i="3"/>
  <c r="Y49" i="3"/>
  <c r="AC48" i="3"/>
  <c r="AB48" i="3"/>
  <c r="AA48" i="3"/>
  <c r="Z48" i="3"/>
  <c r="Y48" i="3"/>
  <c r="AC47" i="3"/>
  <c r="AB47" i="3"/>
  <c r="AA47" i="3"/>
  <c r="Z47" i="3"/>
  <c r="Y47" i="3"/>
  <c r="AC46" i="3"/>
  <c r="AB46" i="3"/>
  <c r="AA46" i="3"/>
  <c r="Z46" i="3"/>
  <c r="Y46" i="3"/>
  <c r="Z45" i="3"/>
  <c r="W45" i="3"/>
  <c r="W51" i="3" s="1"/>
  <c r="V45" i="3"/>
  <c r="U45" i="3"/>
  <c r="U51" i="3" s="1"/>
  <c r="T45" i="3"/>
  <c r="S45" i="3"/>
  <c r="R45" i="3"/>
  <c r="Q45" i="3"/>
  <c r="Q51" i="3" s="1"/>
  <c r="P45" i="3"/>
  <c r="O45" i="3"/>
  <c r="O51" i="3" s="1"/>
  <c r="N45" i="3"/>
  <c r="M45" i="3"/>
  <c r="M51" i="3" s="1"/>
  <c r="L45" i="3"/>
  <c r="K45" i="3"/>
  <c r="J45" i="3"/>
  <c r="I45" i="3"/>
  <c r="I51" i="3" s="1"/>
  <c r="H45" i="3"/>
  <c r="G45" i="3"/>
  <c r="G51" i="3" s="1"/>
  <c r="F45" i="3"/>
  <c r="E45" i="3"/>
  <c r="E51" i="3" s="1"/>
  <c r="D45" i="3"/>
  <c r="C45" i="3"/>
  <c r="W43" i="3"/>
  <c r="U43" i="3"/>
  <c r="S43" i="3"/>
  <c r="Q43" i="3"/>
  <c r="O43" i="3"/>
  <c r="AB43" i="3" s="1"/>
  <c r="M43" i="3"/>
  <c r="K43" i="3"/>
  <c r="I43" i="3"/>
  <c r="G43" i="3"/>
  <c r="Z43" i="3" s="1"/>
  <c r="E43" i="3"/>
  <c r="C43" i="3"/>
  <c r="AC42" i="3"/>
  <c r="AB42" i="3"/>
  <c r="AA42" i="3"/>
  <c r="Z42" i="3"/>
  <c r="Y42" i="3"/>
  <c r="AC41" i="3"/>
  <c r="AB41" i="3"/>
  <c r="AA41" i="3"/>
  <c r="Z41" i="3"/>
  <c r="Y41" i="3"/>
  <c r="AC40" i="3"/>
  <c r="AB40" i="3"/>
  <c r="AA40" i="3"/>
  <c r="Z40" i="3"/>
  <c r="Y40" i="3"/>
  <c r="W39" i="3"/>
  <c r="V39" i="3"/>
  <c r="V43" i="3" s="1"/>
  <c r="U39" i="3"/>
  <c r="T39" i="3"/>
  <c r="T43" i="3" s="1"/>
  <c r="S39" i="3"/>
  <c r="R39" i="3"/>
  <c r="R43" i="3" s="1"/>
  <c r="Q39" i="3"/>
  <c r="P39" i="3"/>
  <c r="P43" i="3" s="1"/>
  <c r="O39" i="3"/>
  <c r="N39" i="3"/>
  <c r="N43" i="3" s="1"/>
  <c r="M39" i="3"/>
  <c r="L39" i="3"/>
  <c r="L43" i="3" s="1"/>
  <c r="K39" i="3"/>
  <c r="J39" i="3"/>
  <c r="J43" i="3" s="1"/>
  <c r="I39" i="3"/>
  <c r="H39" i="3"/>
  <c r="H43" i="3" s="1"/>
  <c r="G39" i="3"/>
  <c r="F39" i="3"/>
  <c r="F43" i="3" s="1"/>
  <c r="E39" i="3"/>
  <c r="D39" i="3"/>
  <c r="D43" i="3" s="1"/>
  <c r="C39" i="3"/>
  <c r="V37" i="3"/>
  <c r="T37" i="3"/>
  <c r="R37" i="3"/>
  <c r="P37" i="3"/>
  <c r="N37" i="3"/>
  <c r="L37" i="3"/>
  <c r="J37" i="3"/>
  <c r="H37" i="3"/>
  <c r="F37" i="3"/>
  <c r="D37" i="3"/>
  <c r="AC36" i="3"/>
  <c r="AB36" i="3"/>
  <c r="AA36" i="3"/>
  <c r="Z36" i="3"/>
  <c r="Y36" i="3"/>
  <c r="AC35" i="3"/>
  <c r="AB35" i="3"/>
  <c r="AA35" i="3"/>
  <c r="Z35" i="3"/>
  <c r="Y35" i="3"/>
  <c r="AC34" i="3"/>
  <c r="AB34" i="3"/>
  <c r="AA34" i="3"/>
  <c r="Z34" i="3"/>
  <c r="Y34" i="3"/>
  <c r="W33" i="3"/>
  <c r="W37" i="3" s="1"/>
  <c r="V33" i="3"/>
  <c r="U33" i="3"/>
  <c r="U37" i="3" s="1"/>
  <c r="T33" i="3"/>
  <c r="S33" i="3"/>
  <c r="R33" i="3"/>
  <c r="Q33" i="3"/>
  <c r="Q37" i="3" s="1"/>
  <c r="P33" i="3"/>
  <c r="O33" i="3"/>
  <c r="O37" i="3" s="1"/>
  <c r="AB37" i="3" s="1"/>
  <c r="N33" i="3"/>
  <c r="M33" i="3"/>
  <c r="M37" i="3" s="1"/>
  <c r="L33" i="3"/>
  <c r="K33" i="3"/>
  <c r="J33" i="3"/>
  <c r="I33" i="3"/>
  <c r="I37" i="3" s="1"/>
  <c r="H33" i="3"/>
  <c r="G33" i="3"/>
  <c r="G37" i="3" s="1"/>
  <c r="Z37" i="3" s="1"/>
  <c r="F33" i="3"/>
  <c r="E33" i="3"/>
  <c r="E37" i="3" s="1"/>
  <c r="D33" i="3"/>
  <c r="C33" i="3"/>
  <c r="AC29" i="3"/>
  <c r="AB29" i="3"/>
  <c r="AA29" i="3"/>
  <c r="Z29" i="3"/>
  <c r="Y29" i="3"/>
  <c r="T27" i="3"/>
  <c r="L27" i="3"/>
  <c r="H27" i="3"/>
  <c r="D27" i="3"/>
  <c r="AC26" i="3"/>
  <c r="AB26" i="3"/>
  <c r="AA26" i="3"/>
  <c r="Z26" i="3"/>
  <c r="Y26" i="3"/>
  <c r="AC25" i="3"/>
  <c r="AB25" i="3"/>
  <c r="AA25" i="3"/>
  <c r="Z25" i="3"/>
  <c r="Y25" i="3"/>
  <c r="AC24" i="3"/>
  <c r="AB24" i="3"/>
  <c r="AA24" i="3"/>
  <c r="Z24" i="3"/>
  <c r="Y24" i="3"/>
  <c r="AC23" i="3"/>
  <c r="AB23" i="3"/>
  <c r="AA23" i="3"/>
  <c r="Z23" i="3"/>
  <c r="Y23" i="3"/>
  <c r="AC22" i="3"/>
  <c r="AB22" i="3"/>
  <c r="AA22" i="3"/>
  <c r="Z22" i="3"/>
  <c r="Y22" i="3"/>
  <c r="S16" i="3"/>
  <c r="R16" i="3"/>
  <c r="Q16" i="3"/>
  <c r="P16" i="3"/>
  <c r="K13" i="3"/>
  <c r="G13" i="3"/>
  <c r="G100" i="3" s="1"/>
  <c r="C13" i="3"/>
  <c r="AB12" i="3"/>
  <c r="AB11" i="3"/>
  <c r="AB10" i="3"/>
  <c r="AA10" i="3"/>
  <c r="Z10" i="3"/>
  <c r="Y10" i="3"/>
  <c r="AB9" i="3"/>
  <c r="AA9" i="3"/>
  <c r="Z9" i="3"/>
  <c r="Y9" i="3"/>
  <c r="AE5" i="3"/>
  <c r="D5" i="3"/>
  <c r="W56" i="2"/>
  <c r="S56" i="2"/>
  <c r="O56" i="2"/>
  <c r="K56" i="2"/>
  <c r="G56" i="2"/>
  <c r="W55" i="2"/>
  <c r="V55" i="2"/>
  <c r="U55" i="2"/>
  <c r="T55" i="2"/>
  <c r="S55" i="2"/>
  <c r="R55" i="2"/>
  <c r="Q55" i="2"/>
  <c r="P55" i="2"/>
  <c r="O55" i="2"/>
  <c r="N55" i="2"/>
  <c r="M55" i="2"/>
  <c r="L55" i="2"/>
  <c r="K55" i="2"/>
  <c r="J55" i="2"/>
  <c r="I55" i="2"/>
  <c r="H55" i="2"/>
  <c r="G55" i="2"/>
  <c r="W54" i="2"/>
  <c r="V54" i="2"/>
  <c r="U54" i="2"/>
  <c r="T54" i="2"/>
  <c r="S54" i="2"/>
  <c r="R54" i="2"/>
  <c r="Q54" i="2"/>
  <c r="P54" i="2"/>
  <c r="O54" i="2"/>
  <c r="N54" i="2"/>
  <c r="M54" i="2"/>
  <c r="L54" i="2"/>
  <c r="K54" i="2"/>
  <c r="J54" i="2"/>
  <c r="I54" i="2"/>
  <c r="H54" i="2"/>
  <c r="G54" i="2"/>
  <c r="W53" i="2"/>
  <c r="V53" i="2"/>
  <c r="U53" i="2"/>
  <c r="T53" i="2"/>
  <c r="S53" i="2"/>
  <c r="R53" i="2"/>
  <c r="Q53" i="2"/>
  <c r="P53" i="2"/>
  <c r="O53" i="2"/>
  <c r="N53" i="2"/>
  <c r="M53" i="2"/>
  <c r="L53" i="2"/>
  <c r="K53" i="2"/>
  <c r="J53" i="2"/>
  <c r="I53" i="2"/>
  <c r="H53" i="2"/>
  <c r="G53" i="2"/>
  <c r="AF41" i="2"/>
  <c r="AE41" i="2"/>
  <c r="AC41" i="2"/>
  <c r="AF40" i="2"/>
  <c r="AE40" i="2"/>
  <c r="AC40" i="2"/>
  <c r="AC39" i="2"/>
  <c r="AB39" i="2"/>
  <c r="AA39" i="2"/>
  <c r="Z39" i="2"/>
  <c r="Y39" i="2"/>
  <c r="AC37" i="2"/>
  <c r="AB37" i="2"/>
  <c r="AA37" i="2"/>
  <c r="Z37" i="2"/>
  <c r="Y37" i="2"/>
  <c r="AC36" i="2"/>
  <c r="AB36" i="2"/>
  <c r="AA36" i="2"/>
  <c r="Z36" i="2"/>
  <c r="Y36" i="2"/>
  <c r="W32" i="2"/>
  <c r="W21" i="3" s="1"/>
  <c r="W27" i="3" s="1"/>
  <c r="V32" i="2"/>
  <c r="J27" i="5" s="1"/>
  <c r="J32" i="5" s="1"/>
  <c r="U32" i="2"/>
  <c r="I27" i="5" s="1"/>
  <c r="I32" i="5" s="1"/>
  <c r="T32" i="2"/>
  <c r="T21" i="3" s="1"/>
  <c r="S32" i="2"/>
  <c r="R32" i="2"/>
  <c r="F27" i="5" s="1"/>
  <c r="F32" i="5" s="1"/>
  <c r="Q32" i="2"/>
  <c r="E27" i="5" s="1"/>
  <c r="E32" i="5" s="1"/>
  <c r="P32" i="2"/>
  <c r="D27" i="5" s="1"/>
  <c r="D32" i="5" s="1"/>
  <c r="O32" i="2"/>
  <c r="C27" i="5" s="1"/>
  <c r="C32" i="5" s="1"/>
  <c r="N32" i="2"/>
  <c r="N21" i="3" s="1"/>
  <c r="N27" i="3" s="1"/>
  <c r="M32" i="2"/>
  <c r="M21" i="3" s="1"/>
  <c r="M27" i="3" s="1"/>
  <c r="L32" i="2"/>
  <c r="L21" i="3" s="1"/>
  <c r="K32" i="2"/>
  <c r="AA32" i="2" s="1"/>
  <c r="J32" i="2"/>
  <c r="J21" i="3" s="1"/>
  <c r="J27" i="3" s="1"/>
  <c r="I32" i="2"/>
  <c r="I21" i="3" s="1"/>
  <c r="I27" i="3" s="1"/>
  <c r="H32" i="2"/>
  <c r="H21" i="3" s="1"/>
  <c r="G32" i="2"/>
  <c r="Z32" i="2" s="1"/>
  <c r="F32" i="2"/>
  <c r="F21" i="3" s="1"/>
  <c r="F27" i="3" s="1"/>
  <c r="E32" i="2"/>
  <c r="E21" i="3" s="1"/>
  <c r="E27" i="3" s="1"/>
  <c r="D32" i="2"/>
  <c r="D21" i="3" s="1"/>
  <c r="C32" i="2"/>
  <c r="Y32" i="2" s="1"/>
  <c r="AC31" i="2"/>
  <c r="AB31" i="2"/>
  <c r="AA31" i="2"/>
  <c r="Z31" i="2"/>
  <c r="Y31" i="2"/>
  <c r="AC30" i="2"/>
  <c r="AB30" i="2"/>
  <c r="AA30" i="2"/>
  <c r="Z30" i="2"/>
  <c r="Y30" i="2"/>
  <c r="AC29" i="2"/>
  <c r="AB29" i="2"/>
  <c r="AA29" i="2"/>
  <c r="Z29" i="2"/>
  <c r="Y29" i="2"/>
  <c r="AC28" i="2"/>
  <c r="AB28" i="2"/>
  <c r="AA28" i="2"/>
  <c r="Z28" i="2"/>
  <c r="Y28" i="2"/>
  <c r="AC27" i="2"/>
  <c r="AB27" i="2"/>
  <c r="AA27" i="2"/>
  <c r="Z27" i="2"/>
  <c r="Y27" i="2"/>
  <c r="W23" i="2"/>
  <c r="V23" i="2"/>
  <c r="J19" i="5" s="1"/>
  <c r="J21" i="5" s="1"/>
  <c r="U23" i="2"/>
  <c r="I19" i="5" s="1"/>
  <c r="I21" i="5" s="1"/>
  <c r="T23" i="2"/>
  <c r="H19" i="5" s="1"/>
  <c r="H21" i="5" s="1"/>
  <c r="S23" i="2"/>
  <c r="G19" i="5" s="1"/>
  <c r="G21" i="5" s="1"/>
  <c r="R23" i="2"/>
  <c r="F19" i="5" s="1"/>
  <c r="F21" i="5" s="1"/>
  <c r="Q23" i="2"/>
  <c r="E19" i="5" s="1"/>
  <c r="E21" i="5" s="1"/>
  <c r="P23" i="2"/>
  <c r="D19" i="5" s="1"/>
  <c r="D21" i="5" s="1"/>
  <c r="O23" i="2"/>
  <c r="C19" i="5" s="1"/>
  <c r="C21" i="5" s="1"/>
  <c r="N23" i="2"/>
  <c r="M23" i="2"/>
  <c r="L23" i="2"/>
  <c r="AA23" i="2" s="1"/>
  <c r="K23" i="2"/>
  <c r="J23" i="2"/>
  <c r="I23" i="2"/>
  <c r="H23" i="2"/>
  <c r="G23" i="2"/>
  <c r="Z23" i="2" s="1"/>
  <c r="F23" i="2"/>
  <c r="E23" i="2"/>
  <c r="D23" i="2"/>
  <c r="Y23" i="2" s="1"/>
  <c r="C23" i="2"/>
  <c r="AC22" i="2"/>
  <c r="AB22" i="2"/>
  <c r="AA22" i="2"/>
  <c r="Z22" i="2"/>
  <c r="Y22" i="2"/>
  <c r="AC21" i="2"/>
  <c r="AB21" i="2"/>
  <c r="AC20" i="2"/>
  <c r="AB20" i="2"/>
  <c r="AA20" i="2"/>
  <c r="Z20" i="2"/>
  <c r="Y20" i="2"/>
  <c r="AC19" i="2"/>
  <c r="AB19" i="2"/>
  <c r="AA19" i="2"/>
  <c r="Z19" i="2"/>
  <c r="Y19" i="2"/>
  <c r="Z18" i="2"/>
  <c r="Y18" i="2"/>
  <c r="AC17" i="2"/>
  <c r="AB17" i="2"/>
  <c r="AA17" i="2"/>
  <c r="Z17" i="2"/>
  <c r="Y17" i="2"/>
  <c r="W14" i="2"/>
  <c r="V14" i="2"/>
  <c r="U14" i="2"/>
  <c r="T14" i="2"/>
  <c r="S14" i="2"/>
  <c r="R14" i="2"/>
  <c r="Q14" i="2"/>
  <c r="P14" i="2"/>
  <c r="O14" i="2"/>
  <c r="N14" i="2"/>
  <c r="M14" i="2"/>
  <c r="M8" i="3" s="1"/>
  <c r="M13" i="3" s="1"/>
  <c r="L14" i="2"/>
  <c r="K14" i="2"/>
  <c r="K8" i="3" s="1"/>
  <c r="J14" i="2"/>
  <c r="I14" i="2"/>
  <c r="I8" i="3" s="1"/>
  <c r="I13" i="3" s="1"/>
  <c r="H14" i="2"/>
  <c r="G14" i="2"/>
  <c r="G8" i="3" s="1"/>
  <c r="F14" i="2"/>
  <c r="F8" i="3" s="1"/>
  <c r="F13" i="3" s="1"/>
  <c r="E14" i="2"/>
  <c r="E8" i="3" s="1"/>
  <c r="E13" i="3" s="1"/>
  <c r="D14" i="2"/>
  <c r="D8" i="3" s="1"/>
  <c r="C14" i="2"/>
  <c r="C8" i="3" s="1"/>
  <c r="AC13" i="2"/>
  <c r="AB13" i="2"/>
  <c r="AC12" i="2"/>
  <c r="AC55" i="2" s="1"/>
  <c r="AB12" i="2"/>
  <c r="AA12" i="2"/>
  <c r="AA55" i="2" s="1"/>
  <c r="Z12" i="2"/>
  <c r="Y12" i="2"/>
  <c r="AC11" i="2"/>
  <c r="AB11" i="2"/>
  <c r="AB54" i="2" s="1"/>
  <c r="AA11" i="2"/>
  <c r="AA54" i="2" s="1"/>
  <c r="Z11" i="2"/>
  <c r="Z54" i="2" s="1"/>
  <c r="Y11" i="2"/>
  <c r="Z10" i="2"/>
  <c r="Y10" i="2"/>
  <c r="AC9" i="2"/>
  <c r="AC53" i="2" s="1"/>
  <c r="AB9" i="2"/>
  <c r="AA9" i="2"/>
  <c r="AA53" i="2" s="1"/>
  <c r="Z9" i="2"/>
  <c r="Y9" i="2"/>
  <c r="AE5" i="2"/>
  <c r="E5" i="2"/>
  <c r="F5" i="2" s="1"/>
  <c r="G5" i="2" s="1"/>
  <c r="H5" i="2" s="1"/>
  <c r="I5" i="2" s="1"/>
  <c r="J5" i="2" s="1"/>
  <c r="K5" i="2" s="1"/>
  <c r="L5" i="2" s="1"/>
  <c r="M5" i="2" s="1"/>
  <c r="N5" i="2" s="1"/>
  <c r="O5" i="2" s="1"/>
  <c r="P5" i="2" s="1"/>
  <c r="Q5" i="2" s="1"/>
  <c r="R5" i="2" s="1"/>
  <c r="S5" i="2" s="1"/>
  <c r="T5" i="2" s="1"/>
  <c r="U5" i="2" s="1"/>
  <c r="D5" i="2"/>
  <c r="I100" i="3" l="1"/>
  <c r="M100" i="3"/>
  <c r="J103" i="3"/>
  <c r="N103" i="3"/>
  <c r="D13" i="3"/>
  <c r="Y13" i="3" s="1"/>
  <c r="Y8" i="3"/>
  <c r="I103" i="3"/>
  <c r="M103" i="3"/>
  <c r="AF9" i="2"/>
  <c r="AE11" i="2"/>
  <c r="AF12" i="2"/>
  <c r="AF13" i="2"/>
  <c r="H56" i="2"/>
  <c r="J56" i="2"/>
  <c r="L56" i="2"/>
  <c r="N56" i="2"/>
  <c r="D7" i="5"/>
  <c r="D9" i="5" s="1"/>
  <c r="P56" i="2"/>
  <c r="R56" i="2"/>
  <c r="H7" i="5"/>
  <c r="T56" i="2"/>
  <c r="J7" i="5"/>
  <c r="V56" i="2"/>
  <c r="Y14" i="2"/>
  <c r="AA14" i="2"/>
  <c r="AC14" i="2"/>
  <c r="AC56" i="2" s="1"/>
  <c r="AF14" i="2"/>
  <c r="AE17" i="2"/>
  <c r="AF19" i="2"/>
  <c r="AE20" i="2"/>
  <c r="AE21" i="2"/>
  <c r="AF22" i="2"/>
  <c r="AC23" i="2"/>
  <c r="AF23" i="2"/>
  <c r="D24" i="2"/>
  <c r="F24" i="2"/>
  <c r="H24" i="2"/>
  <c r="J24" i="2"/>
  <c r="L24" i="2"/>
  <c r="N24" i="2"/>
  <c r="P24" i="2"/>
  <c r="R24" i="2"/>
  <c r="T24" i="2"/>
  <c r="G27" i="5"/>
  <c r="G32" i="5" s="1"/>
  <c r="AC32" i="2"/>
  <c r="AB32" i="2"/>
  <c r="AC54" i="2"/>
  <c r="E5" i="3"/>
  <c r="F5" i="3" s="1"/>
  <c r="G5" i="3" s="1"/>
  <c r="H5" i="3" s="1"/>
  <c r="I5" i="3" s="1"/>
  <c r="J5" i="3" s="1"/>
  <c r="K5" i="3" s="1"/>
  <c r="L5" i="3" s="1"/>
  <c r="M5" i="3" s="1"/>
  <c r="N5" i="3" s="1"/>
  <c r="O5" i="3" s="1"/>
  <c r="P5" i="3" s="1"/>
  <c r="Q5" i="3" s="1"/>
  <c r="R5" i="3" s="1"/>
  <c r="S5" i="3" s="1"/>
  <c r="T5" i="3" s="1"/>
  <c r="U5" i="3" s="1"/>
  <c r="H8" i="3"/>
  <c r="H13" i="3" s="1"/>
  <c r="L8" i="3"/>
  <c r="L13" i="3" s="1"/>
  <c r="L100" i="3" s="1"/>
  <c r="P8" i="3"/>
  <c r="P13" i="3" s="1"/>
  <c r="T8" i="3"/>
  <c r="T13" i="3" s="1"/>
  <c r="AA13" i="3"/>
  <c r="C21" i="3"/>
  <c r="G21" i="3"/>
  <c r="K21" i="3"/>
  <c r="O21" i="3"/>
  <c r="S21" i="3"/>
  <c r="H103" i="3"/>
  <c r="L103" i="3"/>
  <c r="C37" i="3"/>
  <c r="Y37" i="3" s="1"/>
  <c r="Y33" i="3"/>
  <c r="K37" i="3"/>
  <c r="AA37" i="3" s="1"/>
  <c r="AA33" i="3"/>
  <c r="S37" i="3"/>
  <c r="AC37" i="3" s="1"/>
  <c r="AC33" i="3"/>
  <c r="AB33" i="3"/>
  <c r="Y39" i="3"/>
  <c r="AC39" i="3"/>
  <c r="Y43" i="3"/>
  <c r="AA43" i="3"/>
  <c r="AC43" i="3"/>
  <c r="K100" i="3"/>
  <c r="AF24" i="4"/>
  <c r="AF25" i="4" s="1"/>
  <c r="E5" i="4"/>
  <c r="F5" i="4" s="1"/>
  <c r="G5" i="4" s="1"/>
  <c r="H5" i="4" s="1"/>
  <c r="I5" i="4" s="1"/>
  <c r="J5" i="4" s="1"/>
  <c r="K5" i="4" s="1"/>
  <c r="L5" i="4" s="1"/>
  <c r="M5" i="4" s="1"/>
  <c r="N5" i="4" s="1"/>
  <c r="O5" i="4" s="1"/>
  <c r="P5" i="4" s="1"/>
  <c r="Q5" i="4" s="1"/>
  <c r="R5" i="4" s="1"/>
  <c r="S5" i="4" s="1"/>
  <c r="T5" i="4" s="1"/>
  <c r="U5" i="4" s="1"/>
  <c r="V5" i="4" s="1"/>
  <c r="AE27" i="4"/>
  <c r="I28" i="4"/>
  <c r="M28" i="4"/>
  <c r="Q28" i="4"/>
  <c r="U28" i="4"/>
  <c r="Y27" i="4"/>
  <c r="AA27" i="4"/>
  <c r="AC27" i="4"/>
  <c r="S32" i="4"/>
  <c r="AB27" i="4"/>
  <c r="AB28" i="4" s="1"/>
  <c r="K28" i="4"/>
  <c r="S28" i="4"/>
  <c r="U32" i="4"/>
  <c r="F7" i="5"/>
  <c r="F9" i="5" s="1"/>
  <c r="AF32" i="2"/>
  <c r="AF31" i="2"/>
  <c r="AF29" i="2"/>
  <c r="AF27" i="2"/>
  <c r="AE30" i="2"/>
  <c r="AE28" i="2"/>
  <c r="Z53" i="2"/>
  <c r="AB53" i="2"/>
  <c r="AE9" i="2"/>
  <c r="AF11" i="2"/>
  <c r="Z55" i="2"/>
  <c r="AB55" i="2"/>
  <c r="AE12" i="2"/>
  <c r="AE13" i="2"/>
  <c r="C7" i="5"/>
  <c r="C9" i="5" s="1"/>
  <c r="O8" i="3"/>
  <c r="E7" i="5"/>
  <c r="E9" i="5" s="1"/>
  <c r="Q8" i="3"/>
  <c r="Q13" i="3" s="1"/>
  <c r="G7" i="5"/>
  <c r="S8" i="3"/>
  <c r="I7" i="5"/>
  <c r="U8" i="3"/>
  <c r="U13" i="3" s="1"/>
  <c r="U24" i="2"/>
  <c r="W8" i="3"/>
  <c r="W24" i="2"/>
  <c r="Z14" i="2"/>
  <c r="Z56" i="2" s="1"/>
  <c r="AB14" i="2"/>
  <c r="AB56" i="2" s="1"/>
  <c r="AE14" i="2"/>
  <c r="AF17" i="2"/>
  <c r="AE19" i="2"/>
  <c r="AF20" i="2"/>
  <c r="AF21" i="2"/>
  <c r="AE22" i="2"/>
  <c r="AB23" i="2"/>
  <c r="AE23" i="2"/>
  <c r="C24" i="2"/>
  <c r="E24" i="2"/>
  <c r="G24" i="2"/>
  <c r="I24" i="2"/>
  <c r="K24" i="2"/>
  <c r="M24" i="2"/>
  <c r="O24" i="2"/>
  <c r="Q24" i="2"/>
  <c r="S24" i="2"/>
  <c r="V24" i="2"/>
  <c r="AF24" i="2"/>
  <c r="AE27" i="2"/>
  <c r="AF28" i="2"/>
  <c r="AE29" i="2"/>
  <c r="AF30" i="2"/>
  <c r="AE31" i="2"/>
  <c r="AE32" i="2"/>
  <c r="I56" i="2"/>
  <c r="M56" i="2"/>
  <c r="Q56" i="2"/>
  <c r="U56" i="2"/>
  <c r="AE26" i="3"/>
  <c r="AE22" i="3"/>
  <c r="AE12" i="3"/>
  <c r="AE10" i="3"/>
  <c r="J8" i="3"/>
  <c r="J13" i="3" s="1"/>
  <c r="J100" i="3" s="1"/>
  <c r="N8" i="3"/>
  <c r="N13" i="3" s="1"/>
  <c r="R8" i="3"/>
  <c r="R13" i="3" s="1"/>
  <c r="V8" i="3"/>
  <c r="AF8" i="3"/>
  <c r="Q21" i="3"/>
  <c r="Q27" i="3" s="1"/>
  <c r="Q103" i="3" s="1"/>
  <c r="U21" i="3"/>
  <c r="U27" i="3" s="1"/>
  <c r="AE23" i="3"/>
  <c r="AE25" i="3"/>
  <c r="Z33" i="3"/>
  <c r="Z39" i="3"/>
  <c r="AB39" i="3"/>
  <c r="AA39" i="3"/>
  <c r="C51" i="3"/>
  <c r="Y51" i="3" s="1"/>
  <c r="Y45" i="3"/>
  <c r="Z51" i="3"/>
  <c r="K51" i="3"/>
  <c r="AA51" i="3" s="1"/>
  <c r="AA45" i="3"/>
  <c r="AB51" i="3"/>
  <c r="S51" i="3"/>
  <c r="AC51" i="3" s="1"/>
  <c r="AC45" i="3"/>
  <c r="AB45" i="3"/>
  <c r="AF10" i="4"/>
  <c r="H28" i="4"/>
  <c r="J28" i="4"/>
  <c r="L28" i="4"/>
  <c r="N28" i="4"/>
  <c r="P32" i="4"/>
  <c r="AE32" i="4" s="1"/>
  <c r="P28" i="4"/>
  <c r="R32" i="4"/>
  <c r="R28" i="4"/>
  <c r="T32" i="4"/>
  <c r="T33" i="4" s="1"/>
  <c r="T28" i="4"/>
  <c r="V32" i="4"/>
  <c r="V33" i="4" s="1"/>
  <c r="V28" i="4"/>
  <c r="AB25" i="4"/>
  <c r="AC22" i="4"/>
  <c r="AC25" i="4"/>
  <c r="AE24" i="4"/>
  <c r="AA25" i="4"/>
  <c r="Z27" i="4"/>
  <c r="AB32" i="4"/>
  <c r="W33" i="4"/>
  <c r="G28" i="4"/>
  <c r="O28" i="4"/>
  <c r="W28" i="4"/>
  <c r="Q32" i="4"/>
  <c r="P21" i="3"/>
  <c r="P27" i="3" s="1"/>
  <c r="P103" i="3" s="1"/>
  <c r="R21" i="3"/>
  <c r="R27" i="3" s="1"/>
  <c r="R103" i="3" s="1"/>
  <c r="V21" i="3"/>
  <c r="V27" i="3" s="1"/>
  <c r="V103" i="3" s="1"/>
  <c r="AB11" i="4"/>
  <c r="H53" i="5"/>
  <c r="H13" i="5"/>
  <c r="H54" i="5" s="1"/>
  <c r="J53" i="5"/>
  <c r="J13" i="5"/>
  <c r="J54" i="5" s="1"/>
  <c r="AE10" i="4"/>
  <c r="AF27" i="3" l="1"/>
  <c r="AE21" i="3"/>
  <c r="R100" i="3"/>
  <c r="F15" i="5"/>
  <c r="F17" i="5" s="1"/>
  <c r="R17" i="3"/>
  <c r="R101" i="3" s="1"/>
  <c r="AF58" i="2"/>
  <c r="G23" i="5"/>
  <c r="S58" i="2"/>
  <c r="S19" i="3"/>
  <c r="S33" i="2"/>
  <c r="AC24" i="2"/>
  <c r="C23" i="5"/>
  <c r="C25" i="5" s="1"/>
  <c r="C36" i="5" s="1"/>
  <c r="AB24" i="2"/>
  <c r="O58" i="2"/>
  <c r="O19" i="3"/>
  <c r="O33" i="2"/>
  <c r="K58" i="2"/>
  <c r="AA24" i="2"/>
  <c r="AA58" i="2" s="1"/>
  <c r="K19" i="3"/>
  <c r="K33" i="2"/>
  <c r="Z24" i="2"/>
  <c r="G58" i="2"/>
  <c r="G19" i="3"/>
  <c r="G33" i="2"/>
  <c r="C19" i="3"/>
  <c r="C33" i="2"/>
  <c r="Y24" i="2"/>
  <c r="I15" i="5"/>
  <c r="U100" i="3"/>
  <c r="S13" i="3"/>
  <c r="AC8" i="3"/>
  <c r="E15" i="5"/>
  <c r="E17" i="5" s="1"/>
  <c r="Q100" i="3"/>
  <c r="Q17" i="3"/>
  <c r="Q101" i="3" s="1"/>
  <c r="AB8" i="3"/>
  <c r="O13" i="3"/>
  <c r="Z8" i="3"/>
  <c r="AC28" i="4"/>
  <c r="AF32" i="4"/>
  <c r="AF33" i="4" s="1"/>
  <c r="S27" i="3"/>
  <c r="AC21" i="3"/>
  <c r="K27" i="3"/>
  <c r="AA21" i="3"/>
  <c r="C27" i="3"/>
  <c r="Y27" i="3" s="1"/>
  <c r="Y21" i="3"/>
  <c r="H15" i="5"/>
  <c r="T100" i="3"/>
  <c r="AF21" i="3"/>
  <c r="AF25" i="3"/>
  <c r="F23" i="5"/>
  <c r="F25" i="5" s="1"/>
  <c r="F36" i="5" s="1"/>
  <c r="R19" i="3"/>
  <c r="R31" i="3" s="1"/>
  <c r="R58" i="2"/>
  <c r="R33" i="2"/>
  <c r="N19" i="3"/>
  <c r="N31" i="3" s="1"/>
  <c r="N105" i="3" s="1"/>
  <c r="N58" i="2"/>
  <c r="N33" i="2"/>
  <c r="N38" i="2" s="1"/>
  <c r="N42" i="2" s="1"/>
  <c r="J19" i="3"/>
  <c r="J31" i="3" s="1"/>
  <c r="J58" i="2"/>
  <c r="J33" i="2"/>
  <c r="J38" i="2" s="1"/>
  <c r="J42" i="2" s="1"/>
  <c r="F19" i="3"/>
  <c r="F31" i="3" s="1"/>
  <c r="F33" i="2"/>
  <c r="F38" i="2" s="1"/>
  <c r="F42" i="2" s="1"/>
  <c r="J47" i="5"/>
  <c r="J9" i="5"/>
  <c r="J48" i="5" s="1"/>
  <c r="H47" i="5"/>
  <c r="H9" i="5"/>
  <c r="H48" i="5" s="1"/>
  <c r="AA8" i="3"/>
  <c r="Z28" i="4"/>
  <c r="AF11" i="4"/>
  <c r="AE29" i="3"/>
  <c r="AF26" i="3"/>
  <c r="AF24" i="3"/>
  <c r="AF22" i="3"/>
  <c r="U103" i="3"/>
  <c r="N100" i="3"/>
  <c r="AE8" i="3"/>
  <c r="AE11" i="3"/>
  <c r="AE13" i="3"/>
  <c r="AE24" i="3"/>
  <c r="AE27" i="3"/>
  <c r="J23" i="5"/>
  <c r="V19" i="3"/>
  <c r="V31" i="3" s="1"/>
  <c r="V58" i="2"/>
  <c r="V33" i="2"/>
  <c r="E23" i="5"/>
  <c r="E25" i="5" s="1"/>
  <c r="E36" i="5" s="1"/>
  <c r="Q19" i="3"/>
  <c r="Q31" i="3" s="1"/>
  <c r="Q33" i="2"/>
  <c r="Q58" i="2"/>
  <c r="M19" i="3"/>
  <c r="M31" i="3" s="1"/>
  <c r="M33" i="2"/>
  <c r="M38" i="2" s="1"/>
  <c r="M42" i="2" s="1"/>
  <c r="M58" i="2"/>
  <c r="I19" i="3"/>
  <c r="I31" i="3" s="1"/>
  <c r="I33" i="2"/>
  <c r="I38" i="2" s="1"/>
  <c r="I42" i="2" s="1"/>
  <c r="I58" i="2"/>
  <c r="E19" i="3"/>
  <c r="E31" i="3" s="1"/>
  <c r="E33" i="2"/>
  <c r="E38" i="2" s="1"/>
  <c r="E42" i="2" s="1"/>
  <c r="W58" i="2"/>
  <c r="W19" i="3"/>
  <c r="W31" i="3" s="1"/>
  <c r="W33" i="2"/>
  <c r="W38" i="2" s="1"/>
  <c r="W42" i="2" s="1"/>
  <c r="I23" i="5"/>
  <c r="U19" i="3"/>
  <c r="U31" i="3" s="1"/>
  <c r="U33" i="2"/>
  <c r="U58" i="2"/>
  <c r="I9" i="5"/>
  <c r="I48" i="5" s="1"/>
  <c r="I47" i="5"/>
  <c r="G9" i="5"/>
  <c r="G48" i="5" s="1"/>
  <c r="G47" i="5"/>
  <c r="AF54" i="2"/>
  <c r="AE24" i="2"/>
  <c r="U33" i="4"/>
  <c r="S33" i="4"/>
  <c r="AC32" i="4"/>
  <c r="AC33" i="4" s="1"/>
  <c r="AA28" i="4"/>
  <c r="AF27" i="4"/>
  <c r="AF28" i="4" s="1"/>
  <c r="T103" i="3"/>
  <c r="O27" i="3"/>
  <c r="AB21" i="3"/>
  <c r="G27" i="3"/>
  <c r="Z21" i="3"/>
  <c r="Z13" i="3"/>
  <c r="Z100" i="3" s="1"/>
  <c r="D15" i="5"/>
  <c r="D17" i="5" s="1"/>
  <c r="P100" i="3"/>
  <c r="H100" i="3"/>
  <c r="AF23" i="3"/>
  <c r="AF29" i="3"/>
  <c r="T19" i="3"/>
  <c r="T31" i="3" s="1"/>
  <c r="T58" i="2"/>
  <c r="T33" i="2"/>
  <c r="H23" i="5"/>
  <c r="D23" i="5"/>
  <c r="D25" i="5" s="1"/>
  <c r="D36" i="5" s="1"/>
  <c r="P19" i="3"/>
  <c r="P31" i="3" s="1"/>
  <c r="P58" i="2"/>
  <c r="P33" i="2"/>
  <c r="L19" i="3"/>
  <c r="L31" i="3" s="1"/>
  <c r="L105" i="3" s="1"/>
  <c r="L58" i="2"/>
  <c r="L33" i="2"/>
  <c r="L38" i="2" s="1"/>
  <c r="L42" i="2" s="1"/>
  <c r="H19" i="3"/>
  <c r="H31" i="3" s="1"/>
  <c r="H58" i="2"/>
  <c r="H33" i="2"/>
  <c r="H38" i="2" s="1"/>
  <c r="H42" i="2" s="1"/>
  <c r="D19" i="3"/>
  <c r="D31" i="3" s="1"/>
  <c r="D33" i="2"/>
  <c r="D38" i="2" s="1"/>
  <c r="D42" i="2" s="1"/>
  <c r="AF56" i="2"/>
  <c r="AA56" i="2"/>
  <c r="AF55" i="2"/>
  <c r="AF53" i="2"/>
  <c r="L72" i="3" l="1"/>
  <c r="L87" i="3" s="1"/>
  <c r="L89" i="3" s="1"/>
  <c r="L54" i="3"/>
  <c r="L69" i="3" s="1"/>
  <c r="T38" i="2"/>
  <c r="T42" i="2" s="1"/>
  <c r="H34" i="5"/>
  <c r="AF33" i="2"/>
  <c r="H38" i="5"/>
  <c r="T105" i="3"/>
  <c r="AF19" i="3"/>
  <c r="G103" i="3"/>
  <c r="Z27" i="3"/>
  <c r="Z103" i="3" s="1"/>
  <c r="O103" i="3"/>
  <c r="AB27" i="3"/>
  <c r="AB103" i="3" s="1"/>
  <c r="I34" i="5"/>
  <c r="U38" i="2"/>
  <c r="U42" i="2" s="1"/>
  <c r="I25" i="5"/>
  <c r="I56" i="5"/>
  <c r="E72" i="3"/>
  <c r="E87" i="3" s="1"/>
  <c r="E89" i="3" s="1"/>
  <c r="E54" i="3"/>
  <c r="E69" i="3" s="1"/>
  <c r="M72" i="3"/>
  <c r="M87" i="3" s="1"/>
  <c r="M89" i="3" s="1"/>
  <c r="M54" i="3"/>
  <c r="M69" i="3" s="1"/>
  <c r="E38" i="5"/>
  <c r="E44" i="5" s="1"/>
  <c r="Q105" i="3"/>
  <c r="J34" i="5"/>
  <c r="V38" i="2"/>
  <c r="V42" i="2" s="1"/>
  <c r="J38" i="5"/>
  <c r="V105" i="3"/>
  <c r="AE19" i="3"/>
  <c r="N72" i="3"/>
  <c r="N87" i="3" s="1"/>
  <c r="N89" i="3" s="1"/>
  <c r="N54" i="3"/>
  <c r="N69" i="3" s="1"/>
  <c r="AA100" i="3"/>
  <c r="K103" i="3"/>
  <c r="AA27" i="3"/>
  <c r="S103" i="3"/>
  <c r="AC27" i="3"/>
  <c r="W103" i="3"/>
  <c r="C15" i="5"/>
  <c r="C17" i="5" s="1"/>
  <c r="O100" i="3"/>
  <c r="AB13" i="3"/>
  <c r="AB100" i="3" s="1"/>
  <c r="P17" i="3"/>
  <c r="P101" i="3" s="1"/>
  <c r="G15" i="5"/>
  <c r="S17" i="3"/>
  <c r="S101" i="3" s="1"/>
  <c r="S100" i="3"/>
  <c r="I17" i="5"/>
  <c r="I51" i="5" s="1"/>
  <c r="I50" i="5"/>
  <c r="Y33" i="2"/>
  <c r="C38" i="2"/>
  <c r="Z33" i="2"/>
  <c r="G38" i="2"/>
  <c r="AA33" i="2"/>
  <c r="K38" i="2"/>
  <c r="C34" i="5"/>
  <c r="O38" i="2"/>
  <c r="AB33" i="2"/>
  <c r="G34" i="5"/>
  <c r="AC33" i="2"/>
  <c r="S38" i="2"/>
  <c r="D72" i="3"/>
  <c r="D87" i="3" s="1"/>
  <c r="D89" i="3" s="1"/>
  <c r="D54" i="3"/>
  <c r="D69" i="3" s="1"/>
  <c r="H72" i="3"/>
  <c r="H87" i="3" s="1"/>
  <c r="H89" i="3" s="1"/>
  <c r="H54" i="3"/>
  <c r="H69" i="3" s="1"/>
  <c r="D34" i="5"/>
  <c r="P38" i="2"/>
  <c r="P42" i="2" s="1"/>
  <c r="AE33" i="2"/>
  <c r="D38" i="5"/>
  <c r="D44" i="5" s="1"/>
  <c r="P105" i="3"/>
  <c r="H56" i="5"/>
  <c r="H25" i="5"/>
  <c r="I38" i="5"/>
  <c r="U105" i="3"/>
  <c r="W54" i="3"/>
  <c r="W69" i="3" s="1"/>
  <c r="W72" i="3"/>
  <c r="W87" i="3" s="1"/>
  <c r="W89" i="3" s="1"/>
  <c r="I72" i="3"/>
  <c r="I87" i="3" s="1"/>
  <c r="I89" i="3" s="1"/>
  <c r="I54" i="3"/>
  <c r="I69" i="3" s="1"/>
  <c r="M105" i="3"/>
  <c r="E34" i="5"/>
  <c r="Q38" i="2"/>
  <c r="Q42" i="2" s="1"/>
  <c r="J56" i="5"/>
  <c r="J25" i="5"/>
  <c r="F72" i="3"/>
  <c r="F87" i="3" s="1"/>
  <c r="F89" i="3" s="1"/>
  <c r="F54" i="3"/>
  <c r="F69" i="3" s="1"/>
  <c r="F41" i="2"/>
  <c r="J72" i="3"/>
  <c r="J87" i="3" s="1"/>
  <c r="J54" i="3"/>
  <c r="J69" i="3" s="1"/>
  <c r="F34" i="5"/>
  <c r="R38" i="2"/>
  <c r="R42" i="2" s="1"/>
  <c r="F38" i="5"/>
  <c r="F44" i="5" s="1"/>
  <c r="R105" i="3"/>
  <c r="AF31" i="3"/>
  <c r="H50" i="5"/>
  <c r="H17" i="5"/>
  <c r="H51" i="5" s="1"/>
  <c r="Y19" i="3"/>
  <c r="C31" i="3"/>
  <c r="Y31" i="3" s="1"/>
  <c r="Z19" i="3"/>
  <c r="G31" i="3"/>
  <c r="Z31" i="3" s="1"/>
  <c r="Z58" i="2"/>
  <c r="AA19" i="3"/>
  <c r="K31" i="3"/>
  <c r="AA31" i="3" s="1"/>
  <c r="O31" i="3"/>
  <c r="AB19" i="3"/>
  <c r="AB58" i="2"/>
  <c r="AC58" i="2"/>
  <c r="AC19" i="3"/>
  <c r="S31" i="3"/>
  <c r="G25" i="5"/>
  <c r="G56" i="5"/>
  <c r="AF103" i="3"/>
  <c r="G36" i="5" l="1"/>
  <c r="G57" i="5"/>
  <c r="C38" i="5"/>
  <c r="C44" i="5" s="1"/>
  <c r="O105" i="3"/>
  <c r="AB31" i="3"/>
  <c r="AB105" i="3" s="1"/>
  <c r="AF105" i="3"/>
  <c r="J89" i="3"/>
  <c r="J93" i="3" s="1"/>
  <c r="J92" i="3"/>
  <c r="J57" i="5"/>
  <c r="J36" i="5"/>
  <c r="Q72" i="3"/>
  <c r="Q87" i="3" s="1"/>
  <c r="Q89" i="3" s="1"/>
  <c r="Q54" i="3"/>
  <c r="Q69" i="3" s="1"/>
  <c r="I59" i="5"/>
  <c r="I44" i="5"/>
  <c r="I60" i="5" s="1"/>
  <c r="J59" i="5"/>
  <c r="J44" i="5"/>
  <c r="J60" i="5" s="1"/>
  <c r="U72" i="3"/>
  <c r="U87" i="3" s="1"/>
  <c r="U89" i="3" s="1"/>
  <c r="U54" i="3"/>
  <c r="U69" i="3" s="1"/>
  <c r="H59" i="5"/>
  <c r="H44" i="5"/>
  <c r="H60" i="5" s="1"/>
  <c r="G38" i="5"/>
  <c r="S105" i="3"/>
  <c r="AC31" i="3"/>
  <c r="AC105" i="3" s="1"/>
  <c r="AA105" i="3"/>
  <c r="R72" i="3"/>
  <c r="R87" i="3" s="1"/>
  <c r="R89" i="3" s="1"/>
  <c r="R54" i="3"/>
  <c r="R69" i="3" s="1"/>
  <c r="H57" i="5"/>
  <c r="H36" i="5"/>
  <c r="AE31" i="3"/>
  <c r="P72" i="3"/>
  <c r="P87" i="3" s="1"/>
  <c r="P89" i="3" s="1"/>
  <c r="P54" i="3"/>
  <c r="P69" i="3" s="1"/>
  <c r="AC38" i="2"/>
  <c r="S42" i="2"/>
  <c r="O42" i="2"/>
  <c r="AB38" i="2"/>
  <c r="AA38" i="2"/>
  <c r="K42" i="2"/>
  <c r="G42" i="2"/>
  <c r="Z38" i="2"/>
  <c r="Y38" i="2"/>
  <c r="C42" i="2"/>
  <c r="G50" i="5"/>
  <c r="G17" i="5"/>
  <c r="G51" i="5" s="1"/>
  <c r="AC103" i="3"/>
  <c r="AA103" i="3"/>
  <c r="V72" i="3"/>
  <c r="V87" i="3" s="1"/>
  <c r="V89" i="3" s="1"/>
  <c r="V54" i="3"/>
  <c r="V69" i="3" s="1"/>
  <c r="W105" i="3"/>
  <c r="I36" i="5"/>
  <c r="I57" i="5"/>
  <c r="T72" i="3"/>
  <c r="T87" i="3" s="1"/>
  <c r="T89" i="3" s="1"/>
  <c r="T54" i="3"/>
  <c r="T69" i="3" s="1"/>
  <c r="AF42" i="2"/>
  <c r="C54" i="3" l="1"/>
  <c r="Y42" i="2"/>
  <c r="C72" i="3"/>
  <c r="K54" i="3"/>
  <c r="AA42" i="2"/>
  <c r="K72" i="3"/>
  <c r="S54" i="3"/>
  <c r="AC42" i="2"/>
  <c r="S72" i="3"/>
  <c r="AE42" i="2"/>
  <c r="AF69" i="3"/>
  <c r="G54" i="3"/>
  <c r="G72" i="3"/>
  <c r="Z42" i="2"/>
  <c r="O54" i="3"/>
  <c r="AB42" i="2"/>
  <c r="O72" i="3"/>
  <c r="G44" i="5"/>
  <c r="G60" i="5" s="1"/>
  <c r="G59" i="5"/>
  <c r="Z54" i="3" l="1"/>
  <c r="G69" i="3"/>
  <c r="Z69" i="3" s="1"/>
  <c r="AA72" i="3"/>
  <c r="K87" i="3"/>
  <c r="AA54" i="3"/>
  <c r="K69" i="3"/>
  <c r="AA69" i="3" s="1"/>
  <c r="O87" i="3"/>
  <c r="AB72" i="3"/>
  <c r="AB54" i="3"/>
  <c r="O69" i="3"/>
  <c r="AB69" i="3" s="1"/>
  <c r="G87" i="3"/>
  <c r="Z72" i="3"/>
  <c r="AC72" i="3"/>
  <c r="S87" i="3"/>
  <c r="S69" i="3"/>
  <c r="AC54" i="3"/>
  <c r="Y72" i="3"/>
  <c r="Y87" i="3" s="1"/>
  <c r="Y89" i="3" s="1"/>
  <c r="C87" i="3"/>
  <c r="C89" i="3" s="1"/>
  <c r="C69" i="3"/>
  <c r="Y69" i="3" s="1"/>
  <c r="Y54" i="3"/>
  <c r="AC87" i="3" l="1"/>
  <c r="S89" i="3"/>
  <c r="AC89" i="3" s="1"/>
  <c r="AA87" i="3"/>
  <c r="K89" i="3"/>
  <c r="AA89" i="3" s="1"/>
  <c r="AC69" i="3"/>
  <c r="AE69" i="3"/>
  <c r="G89" i="3"/>
  <c r="Z89" i="3" s="1"/>
  <c r="Z87" i="3"/>
  <c r="AB87" i="3"/>
  <c r="O89" i="3"/>
  <c r="AB89" i="3" s="1"/>
</calcChain>
</file>

<file path=xl/sharedStrings.xml><?xml version="1.0" encoding="utf-8"?>
<sst xmlns="http://schemas.openxmlformats.org/spreadsheetml/2006/main" count="344" uniqueCount="173">
  <si>
    <t>Square, Inc.</t>
  </si>
  <si>
    <t xml:space="preserve">Square, Inc. </t>
  </si>
  <si>
    <t>Historical financials as of Q1 2020</t>
  </si>
  <si>
    <t>Blue numbers</t>
  </si>
  <si>
    <t>Hardcoded historical financials</t>
  </si>
  <si>
    <t>Shaded grey</t>
  </si>
  <si>
    <t>Historical financial metrics items that are no longer disclosed in our financials</t>
  </si>
  <si>
    <t>Condensed Consolidated Statements of Income</t>
  </si>
  <si>
    <t>Non-GAAP disclosures</t>
  </si>
  <si>
    <t>(In thousands, except for per share amounts)</t>
  </si>
  <si>
    <t>The information contained in this file contains certain financial and other information reproduced or derived from more comprehensive information contained in our quarterly shareholders letters and periodic reports and other filings with the Securities and Exchange Commission (SEC). The information contained in this file is unaudited unless otherwise noted or accompanied by an audit opinion and is not intended as a substitute for, and should be read in the context of, the more comprehensive information contained in these other documents. In the event of any conflict, the information contained in our quarterly shareholders letters and our periodic reports and filings with the SEC shall take precedence. The information contained in this file speaks only as of the particular date or dates included in the accompanying pages. Square, Inc. (the "Company") does not undertake an obligation to, and disclaims any duty to, update any of the information provided.</t>
  </si>
  <si>
    <t>Three months</t>
  </si>
  <si>
    <t>(Unaudited)</t>
  </si>
  <si>
    <t>Three months ended</t>
  </si>
  <si>
    <t>Full year ended</t>
  </si>
  <si>
    <t>Trailing twelve months</t>
  </si>
  <si>
    <t>The file also contains certain non-GAAP financial measures. The Company uses non-GAAP financial measures, among other financial measures, to evaluate its operating performance. Management believes that excluding certain items that are not comparable from period to period can help investors compare operating performance between two periods.</t>
  </si>
  <si>
    <t>ended</t>
  </si>
  <si>
    <t>Mar 31,</t>
  </si>
  <si>
    <t>June 30,</t>
  </si>
  <si>
    <t>Sep 30,</t>
  </si>
  <si>
    <t>Dec 31,</t>
  </si>
  <si>
    <t>Operating Metrics</t>
  </si>
  <si>
    <t>Total net revenue, in accordance with GAAP</t>
  </si>
  <si>
    <t>Trailing twelve months ended</t>
  </si>
  <si>
    <t>Revenue</t>
  </si>
  <si>
    <t xml:space="preserve">     Transaction-based revenue</t>
  </si>
  <si>
    <t xml:space="preserve">     Starbucks transaction-based revenue</t>
  </si>
  <si>
    <t>Gross processing volume (GPV)</t>
  </si>
  <si>
    <t>YoY Growth Rate</t>
  </si>
  <si>
    <t xml:space="preserve">     Transaction-based costs</t>
  </si>
  <si>
    <t xml:space="preserve">     Bitcoin costs</t>
  </si>
  <si>
    <t xml:space="preserve">     Deferred revenue adj. related to purchase accounting</t>
  </si>
  <si>
    <t xml:space="preserve">          Adjusted Revenue(1)</t>
  </si>
  <si>
    <t xml:space="preserve">     Revenue from Zesty and Weebly</t>
  </si>
  <si>
    <t xml:space="preserve">     Subscription and services-based revenue</t>
  </si>
  <si>
    <t xml:space="preserve">          Adjusted Revenue (excl. Weebly and Zesty)</t>
  </si>
  <si>
    <t>Gross profit, in accordance with GAAP</t>
  </si>
  <si>
    <t>GPV mix by Seller</t>
  </si>
  <si>
    <t xml:space="preserve">    Micro (&lt;$125K GPV)</t>
  </si>
  <si>
    <t xml:space="preserve">     Hardware revenue</t>
  </si>
  <si>
    <t xml:space="preserve">    SMB ($125K-$500K GPV)</t>
  </si>
  <si>
    <t xml:space="preserve">    Mid-market (&gt;$500K GPV)</t>
  </si>
  <si>
    <t xml:space="preserve">     Bitcoin revenue</t>
  </si>
  <si>
    <t xml:space="preserve">    Larger Sellers (&gt;$125K GPV)</t>
  </si>
  <si>
    <t>Operating expenses</t>
  </si>
  <si>
    <t xml:space="preserve">          Total net revenue</t>
  </si>
  <si>
    <t>Total Cash App revenue</t>
  </si>
  <si>
    <t>Bitcoin revenue</t>
  </si>
  <si>
    <t xml:space="preserve">     Share-based compensation</t>
  </si>
  <si>
    <t>Total Cash App revenue ex-bitcoin</t>
  </si>
  <si>
    <t>Cost of revenue</t>
  </si>
  <si>
    <t xml:space="preserve">     Depreciation and amortization</t>
  </si>
  <si>
    <t>Sales and marketing, in accordance with GAAP</t>
  </si>
  <si>
    <t xml:space="preserve">     Litigation settlement expense</t>
  </si>
  <si>
    <t xml:space="preserve">     Starbucks transaction-based costs</t>
  </si>
  <si>
    <t xml:space="preserve">     Subscription and services-based costs</t>
  </si>
  <si>
    <t xml:space="preserve">     Loss (gain) on disposal of property and equipment</t>
  </si>
  <si>
    <t xml:space="preserve">     Cash App marketing costs</t>
  </si>
  <si>
    <t xml:space="preserve">     Acquisition related costs</t>
  </si>
  <si>
    <t xml:space="preserve">     Hardware costs</t>
  </si>
  <si>
    <t xml:space="preserve">     Amortization of acquired technology</t>
  </si>
  <si>
    <t xml:space="preserve">          Total cost of revenue</t>
  </si>
  <si>
    <t xml:space="preserve">     YoY Growth</t>
  </si>
  <si>
    <t xml:space="preserve">          Total gross profit</t>
  </si>
  <si>
    <t xml:space="preserve">          Non-GAAP operating expenses</t>
  </si>
  <si>
    <t>Other sales and marketing expenses(1)</t>
  </si>
  <si>
    <t xml:space="preserve">     Product development</t>
  </si>
  <si>
    <t xml:space="preserve">     Other adjustments(2)</t>
  </si>
  <si>
    <t xml:space="preserve">     Sales and marketing</t>
  </si>
  <si>
    <t xml:space="preserve">     General and administrative</t>
  </si>
  <si>
    <t xml:space="preserve">     Transaction, loan and advance losses</t>
  </si>
  <si>
    <t xml:space="preserve">          Adjusted EBITDA</t>
  </si>
  <si>
    <t xml:space="preserve">     Caviar sales and marketing costs</t>
  </si>
  <si>
    <t xml:space="preserve">     Amortization of acquired customer assets</t>
  </si>
  <si>
    <t xml:space="preserve">    Sales and marketing excluding Cash App marketing costs and Caviar sales and marketing costs(1)</t>
  </si>
  <si>
    <t xml:space="preserve">          Total operating expenses</t>
  </si>
  <si>
    <t xml:space="preserve">Note: We define GPV as the total dollar amount of all card payments processed by sellers using Square, net of refunds. Additionally, GPV includes Cash App activity only related to peer-to-peer payments sent from a credit card and Cash for Business. GPV excludes card payments processed for Starbucks. </t>
  </si>
  <si>
    <t>GAAP product development</t>
  </si>
  <si>
    <t xml:space="preserve">Note: GPV mix by seller reflects annualized GPV during the quarter. </t>
  </si>
  <si>
    <t xml:space="preserve">          Operating income (loss)</t>
  </si>
  <si>
    <t xml:space="preserve">(1) Other sales and marketing expenses include advertising, personnel, and other costs. </t>
  </si>
  <si>
    <t>Gain on sale of asset group</t>
  </si>
  <si>
    <t>Interest (income) expense, net</t>
  </si>
  <si>
    <t>Select Financial Results, Pro Forma ex-Caviar</t>
  </si>
  <si>
    <t>Other (income) expense, net</t>
  </si>
  <si>
    <t>Oct 31,</t>
  </si>
  <si>
    <t xml:space="preserve">     Loss on disposal of property equipment</t>
  </si>
  <si>
    <t xml:space="preserve">Total net revenue, in accordance with GAAP </t>
  </si>
  <si>
    <t xml:space="preserve">          Income (loss) before income tax</t>
  </si>
  <si>
    <t xml:space="preserve">          Non-GAAP product development</t>
  </si>
  <si>
    <t>Caviar</t>
  </si>
  <si>
    <t xml:space="preserve">     Total net revenue ex-Caviar</t>
  </si>
  <si>
    <t>Provision for income taxes</t>
  </si>
  <si>
    <t>Subscription and services-based revenue</t>
  </si>
  <si>
    <t>Deemed dividend on Series E preferred stock</t>
  </si>
  <si>
    <t>GAAP sales and marketing</t>
  </si>
  <si>
    <t xml:space="preserve">          Net income (loss) to common stockholders</t>
  </si>
  <si>
    <t xml:space="preserve">     Subscription and services-based revenue ex-Caviar</t>
  </si>
  <si>
    <t xml:space="preserve">          Net income (loss)</t>
  </si>
  <si>
    <t>Adjusted Revenue</t>
  </si>
  <si>
    <t xml:space="preserve">     Adjusted Revenue ex-Caviar</t>
  </si>
  <si>
    <t>Net income (loss) per share</t>
  </si>
  <si>
    <t xml:space="preserve">    Basic</t>
  </si>
  <si>
    <t>Cost of revenue, in accordance with GAAP</t>
  </si>
  <si>
    <t xml:space="preserve">          Non-GAAP sales and marketing</t>
  </si>
  <si>
    <t>Caviar cost of revenue</t>
  </si>
  <si>
    <t xml:space="preserve">    Diluted</t>
  </si>
  <si>
    <t xml:space="preserve">     Cost of revenue ex-Caviar</t>
  </si>
  <si>
    <t>Gross Profit, in accordance with GAAP</t>
  </si>
  <si>
    <t>Weighted-average shares used to compute net loss per share</t>
  </si>
  <si>
    <t xml:space="preserve">     Gross profit ex-Caviar</t>
  </si>
  <si>
    <t>Operating expenses, in accordance with GAAP</t>
  </si>
  <si>
    <t>GAAP general and administrative</t>
  </si>
  <si>
    <t>Year-over-year growth metrics</t>
  </si>
  <si>
    <t>Caviar product development</t>
  </si>
  <si>
    <t>Transaction-based revenue</t>
  </si>
  <si>
    <t>Caviar sales and marketing</t>
  </si>
  <si>
    <t>Caviar general and adminstrative</t>
  </si>
  <si>
    <t>Caviar total operating expenses</t>
  </si>
  <si>
    <t xml:space="preserve">     Operating expenses ex-Caviar</t>
  </si>
  <si>
    <t>Operating income (loss), in accordance with GAAP</t>
  </si>
  <si>
    <t>Hardware revenue</t>
  </si>
  <si>
    <t>Caviar operating income (loss)</t>
  </si>
  <si>
    <t xml:space="preserve">     Operating income ex-Caviar</t>
  </si>
  <si>
    <t>Adjusted EBITDA (reported)</t>
  </si>
  <si>
    <t>Total net revenue</t>
  </si>
  <si>
    <t>Caviar share-based compensation expense</t>
  </si>
  <si>
    <t>Caviar depreciation and amortization</t>
  </si>
  <si>
    <t>Caviar other (income) expense, net</t>
  </si>
  <si>
    <t>Caviar Adjusted EBITDA</t>
  </si>
  <si>
    <t xml:space="preserve">     Adjusted EBITDA ex-Caviar</t>
  </si>
  <si>
    <t xml:space="preserve">     Acquisition related and other costs</t>
  </si>
  <si>
    <t>Total gross profit</t>
  </si>
  <si>
    <t xml:space="preserve">          Non-GAAP general and administrative</t>
  </si>
  <si>
    <t>Total net revenue ex-Caviar</t>
  </si>
  <si>
    <t>Adjusted EBITDA reconciliation</t>
  </si>
  <si>
    <t xml:space="preserve">     GAAP net income (loss)</t>
  </si>
  <si>
    <t>Adjusted Revenue ex-Caviar</t>
  </si>
  <si>
    <t>Subscription and services-based revenue ex-Caviar</t>
  </si>
  <si>
    <t>Gross Profit ex-Caviar</t>
  </si>
  <si>
    <t>Adjusted EBITDA</t>
  </si>
  <si>
    <t xml:space="preserve">     Share-based compensation expense</t>
  </si>
  <si>
    <t>Adjusted EBITDA ex-Caviar</t>
  </si>
  <si>
    <t>Note: We have included non-GAAP metrics.</t>
  </si>
  <si>
    <t>Note: Adjusted EBITDA is excluded from both GAAP Revenue and Adjusted Revenue for the margin metrics. Adjusted EBITDA ex-Caviar is excluded from GAAP revenue ex-Caviar and Adjusted Revenue ex-Caviar for margin metrics.</t>
  </si>
  <si>
    <t xml:space="preserve">     Interest expense, net</t>
  </si>
  <si>
    <t xml:space="preserve">     Other expense (income), net</t>
  </si>
  <si>
    <t xml:space="preserve">     Provision for income taxes</t>
  </si>
  <si>
    <t xml:space="preserve">     Gain on sale of asset group</t>
  </si>
  <si>
    <t xml:space="preserve">     Impairment of intangible assets</t>
  </si>
  <si>
    <t xml:space="preserve">     Acquired deferred revenue adjustment</t>
  </si>
  <si>
    <t xml:space="preserve">     Acquired deferred costs adjustment</t>
  </si>
  <si>
    <t xml:space="preserve">Adjusted net income reconciliation </t>
  </si>
  <si>
    <t xml:space="preserve">     Amortization of intangible assets</t>
  </si>
  <si>
    <t xml:space="preserve">     Amortization of debt discount and issuance costs</t>
  </si>
  <si>
    <t xml:space="preserve">     Loss (gain) on revaluation of equity investment</t>
  </si>
  <si>
    <t xml:space="preserve">     Loss on extinguishment of long-term debt</t>
  </si>
  <si>
    <t xml:space="preserve">     Acquired deferred cost adjustment</t>
  </si>
  <si>
    <t xml:space="preserve">          Adjusted net income - basic</t>
  </si>
  <si>
    <t xml:space="preserve">     Cash interest expense on convertible notes</t>
  </si>
  <si>
    <t xml:space="preserve">          Adjusted net income - diluted</t>
  </si>
  <si>
    <t>Adjusted Net income (loss) per share:</t>
  </si>
  <si>
    <t xml:space="preserve">     Basic</t>
  </si>
  <si>
    <t xml:space="preserve">     Diluted</t>
  </si>
  <si>
    <t>Shares outstanding</t>
  </si>
  <si>
    <t xml:space="preserve">     DIluted</t>
  </si>
  <si>
    <t xml:space="preserve">Adjusted Revenue (excl. Weebly and Zesty) </t>
  </si>
  <si>
    <t>Non-GAAP operating expenses</t>
  </si>
  <si>
    <t>NM</t>
  </si>
  <si>
    <t>(1) We discontinued the use of Adjusted Revenue in the third quarter of 2019, following receipt of a comment letter from and discussions with the SEC.</t>
  </si>
  <si>
    <t>(2) Other adjustments primarily includes Starbucks in 2015, deferred revenue adjustments related to Weebly acquisition, and other immaterial adjustments.</t>
  </si>
  <si>
    <t>The information contained in this file speaks only as of the particular date or dates included in the accompanying pages. Square, Inc. (the "Company") does not undertake an obligation to, and disclaims any duty to, update any of the information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</si>
</sst>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
    <numFmt numFmtId="166" formatCode="0.0%"/>
    <numFmt numFmtId="167" formatCode="#,##0;\ \(#,##0\)"/>
    <numFmt numFmtId="168" formatCode="_(&quot;$&quot;* #,##0.00_);_(&quot;$&quot;* \(#,##0.00\);_(&quot;$&quot;* &quot;-&quot;??.00_);_(@_)"/>
  </numFmts>
  <fonts count="18" x14ac:knownFonts="1">
    <font>
      <sz val="10"/>
      <color rgb="FF000000"/>
      <name val="Arial"/>
    </font>
    <font>
      <b/>
      <sz val="10"/>
      <color theme="1"/>
      <name val="Arial"/>
    </font>
    <font>
      <sz val="10"/>
      <color theme="1"/>
      <name val="Arial"/>
    </font>
    <font>
      <sz val="10"/>
      <color theme="1"/>
      <name val="Arial"/>
    </font>
    <font>
      <sz val="10"/>
      <color rgb="FF0000FF"/>
      <name val="Arial"/>
    </font>
    <font>
      <i/>
      <sz val="10"/>
      <color theme="1"/>
      <name val="Arial"/>
    </font>
    <font>
      <b/>
      <sz val="10"/>
      <color theme="1"/>
      <name val="Arial"/>
    </font>
    <font>
      <sz val="10"/>
      <name val="Arial"/>
    </font>
    <font>
      <sz val="10"/>
      <color rgb="FF0000FF"/>
      <name val="Arial"/>
    </font>
    <font>
      <sz val="11"/>
      <color rgb="FF000000"/>
      <name val="Arial"/>
    </font>
    <font>
      <i/>
      <sz val="10"/>
      <color theme="1"/>
      <name val="Arial"/>
    </font>
    <font>
      <i/>
      <sz val="10"/>
      <color rgb="FF0000FF"/>
      <name val="Arial"/>
    </font>
    <font>
      <sz val="10"/>
      <color rgb="FF0000FF"/>
      <name val="Arial"/>
    </font>
    <font>
      <sz val="7"/>
      <color theme="1"/>
      <name val="Arial"/>
    </font>
    <font>
      <i/>
      <sz val="10"/>
      <color rgb="FF000000"/>
      <name val="Arial"/>
    </font>
    <font>
      <i/>
      <sz val="10"/>
      <color rgb="FF0000FF"/>
      <name val="Arial"/>
    </font>
    <font>
      <sz val="10"/>
      <color rgb="FFFF0000"/>
      <name val="Arial"/>
    </font>
    <font>
      <sz val="10"/>
      <name val="Arial"/>
    </font>
  </fonts>
  <fills count="5">
    <fill>
      <patternFill patternType="none"/>
    </fill>
    <fill>
      <patternFill patternType="gray125"/>
    </fill>
    <fill>
      <patternFill patternType="solid">
        <fgColor rgb="FFD9D9D9"/>
        <bgColor rgb="FFD9D9D9"/>
      </patternFill>
    </fill>
    <fill>
      <patternFill patternType="solid">
        <fgColor theme="0"/>
        <bgColor theme="0"/>
      </patternFill>
    </fill>
    <fill>
      <patternFill patternType="solid">
        <fgColor rgb="FFFFFFFF"/>
        <bgColor rgb="FFFFFFFF"/>
      </patternFill>
    </fill>
  </fills>
  <borders count="2">
    <border>
      <left/>
      <right/>
      <top/>
      <bottom/>
      <diagonal/>
    </border>
    <border>
      <left/>
      <right/>
      <top/>
      <bottom style="thin">
        <color rgb="FF000000"/>
      </bottom>
      <diagonal/>
    </border>
  </borders>
  <cellStyleXfs count="1">
    <xf numFmtId="0" fontId="0" fillId="0" borderId="0"/>
  </cellStyleXfs>
  <cellXfs count="112">
    <xf numFmtId="0" fontId="0" fillId="0" borderId="0" xfId="0" applyFont="1" applyAlignment="1"/>
    <xf numFmtId="0" fontId="1" fillId="0" borderId="0" xfId="0" applyFont="1" applyAlignment="1">
      <alignment horizontal="center"/>
    </xf>
    <xf numFmtId="0" fontId="2" fillId="0" borderId="0" xfId="0" applyFont="1" applyAlignment="1"/>
    <xf numFmtId="0" fontId="3" fillId="0" borderId="0" xfId="0" applyFont="1"/>
    <xf numFmtId="0" fontId="4" fillId="0" borderId="0" xfId="0" applyFont="1" applyAlignment="1"/>
    <xf numFmtId="0" fontId="2" fillId="2" borderId="0" xfId="0" applyFont="1" applyFill="1" applyAlignment="1"/>
    <xf numFmtId="0" fontId="3" fillId="0" borderId="0" xfId="0" applyFont="1" applyAlignment="1">
      <alignment horizontal="center"/>
    </xf>
    <xf numFmtId="0" fontId="0" fillId="0" borderId="0" xfId="0" applyFont="1" applyAlignment="1"/>
    <xf numFmtId="0" fontId="5" fillId="0" borderId="0" xfId="0" applyFont="1" applyAlignment="1">
      <alignment horizontal="center"/>
    </xf>
    <xf numFmtId="0" fontId="3" fillId="0" borderId="0" xfId="0" applyFont="1" applyAlignment="1"/>
    <xf numFmtId="0" fontId="3" fillId="0" borderId="0" xfId="0" applyFont="1" applyAlignment="1">
      <alignment horizontal="right" wrapText="1"/>
    </xf>
    <xf numFmtId="0" fontId="6" fillId="0" borderId="0" xfId="0" applyFont="1" applyAlignment="1">
      <alignment horizontal="center"/>
    </xf>
    <xf numFmtId="0" fontId="0" fillId="0" borderId="0" xfId="0" applyFont="1"/>
    <xf numFmtId="0" fontId="2" fillId="0" borderId="1" xfId="0" applyFont="1" applyBorder="1"/>
    <xf numFmtId="0" fontId="1" fillId="0" borderId="0" xfId="0" applyFont="1"/>
    <xf numFmtId="14" fontId="8" fillId="0" borderId="0" xfId="0" applyNumberFormat="1" applyFont="1" applyAlignment="1">
      <alignment horizontal="center" wrapText="1"/>
    </xf>
    <xf numFmtId="0" fontId="9" fillId="0" borderId="0" xfId="0" applyFont="1"/>
    <xf numFmtId="0" fontId="6" fillId="0" borderId="1" xfId="0" applyFont="1" applyBorder="1" applyAlignment="1">
      <alignment horizontal="center"/>
    </xf>
    <xf numFmtId="14" fontId="3" fillId="0" borderId="0" xfId="0" applyNumberFormat="1" applyFont="1" applyAlignment="1">
      <alignment horizontal="center" wrapText="1"/>
    </xf>
    <xf numFmtId="14" fontId="8" fillId="0" borderId="0" xfId="0" applyNumberFormat="1" applyFont="1" applyAlignment="1">
      <alignment horizontal="center" wrapText="1"/>
    </xf>
    <xf numFmtId="0" fontId="1" fillId="0" borderId="0" xfId="0" applyFont="1" applyAlignment="1">
      <alignment horizontal="center" wrapText="1"/>
    </xf>
    <xf numFmtId="0" fontId="1" fillId="0" borderId="0" xfId="0" applyFont="1" applyAlignment="1"/>
    <xf numFmtId="164" fontId="3" fillId="0" borderId="0" xfId="0" applyNumberFormat="1" applyFont="1" applyAlignment="1"/>
    <xf numFmtId="164" fontId="8" fillId="0" borderId="0" xfId="0" applyNumberFormat="1" applyFont="1" applyAlignment="1"/>
    <xf numFmtId="3" fontId="8" fillId="0" borderId="0" xfId="0" applyNumberFormat="1" applyFont="1" applyAlignment="1"/>
    <xf numFmtId="10" fontId="3" fillId="0" borderId="0" xfId="0" applyNumberFormat="1" applyFont="1" applyAlignment="1"/>
    <xf numFmtId="3" fontId="3" fillId="0" borderId="0" xfId="0" applyNumberFormat="1" applyFont="1" applyAlignment="1"/>
    <xf numFmtId="0" fontId="1" fillId="2" borderId="0" xfId="0" applyFont="1" applyFill="1" applyAlignment="1"/>
    <xf numFmtId="0" fontId="3" fillId="2" borderId="0" xfId="0" applyFont="1" applyFill="1"/>
    <xf numFmtId="164" fontId="1" fillId="2" borderId="0" xfId="0" applyNumberFormat="1" applyFont="1" applyFill="1" applyAlignment="1"/>
    <xf numFmtId="164" fontId="1" fillId="0" borderId="0" xfId="0" applyNumberFormat="1" applyFont="1"/>
    <xf numFmtId="165" fontId="1" fillId="0" borderId="0" xfId="0" applyNumberFormat="1" applyFont="1"/>
    <xf numFmtId="164" fontId="8" fillId="0" borderId="0" xfId="0" applyNumberFormat="1" applyFont="1"/>
    <xf numFmtId="0" fontId="5" fillId="0" borderId="0" xfId="0" applyFont="1" applyAlignment="1"/>
    <xf numFmtId="165" fontId="8" fillId="0" borderId="0" xfId="0" applyNumberFormat="1" applyFont="1" applyAlignment="1"/>
    <xf numFmtId="164" fontId="1" fillId="2" borderId="0" xfId="0" applyNumberFormat="1" applyFont="1" applyFill="1"/>
    <xf numFmtId="0" fontId="2" fillId="2" borderId="0" xfId="0" applyFont="1" applyFill="1"/>
    <xf numFmtId="0" fontId="5" fillId="0" borderId="0" xfId="0" applyFont="1"/>
    <xf numFmtId="165" fontId="1" fillId="2" borderId="0" xfId="0" applyNumberFormat="1" applyFont="1" applyFill="1"/>
    <xf numFmtId="166" fontId="5" fillId="0" borderId="0" xfId="0" applyNumberFormat="1" applyFont="1"/>
    <xf numFmtId="10" fontId="1" fillId="0" borderId="0" xfId="0" applyNumberFormat="1" applyFont="1"/>
    <xf numFmtId="0" fontId="10" fillId="0" borderId="0" xfId="0" applyFont="1" applyAlignment="1"/>
    <xf numFmtId="9" fontId="11" fillId="0" borderId="0" xfId="0" applyNumberFormat="1" applyFont="1" applyAlignment="1">
      <alignment horizontal="right"/>
    </xf>
    <xf numFmtId="164" fontId="1" fillId="0" borderId="0" xfId="0" applyNumberFormat="1" applyFont="1" applyAlignment="1"/>
    <xf numFmtId="164" fontId="12" fillId="0" borderId="0" xfId="0" applyNumberFormat="1" applyFont="1" applyAlignment="1"/>
    <xf numFmtId="164" fontId="0" fillId="0" borderId="0" xfId="0" applyNumberFormat="1" applyFont="1" applyAlignment="1"/>
    <xf numFmtId="0" fontId="8" fillId="0" borderId="0" xfId="0" applyFont="1"/>
    <xf numFmtId="167" fontId="3" fillId="0" borderId="0" xfId="0" applyNumberFormat="1" applyFont="1"/>
    <xf numFmtId="164" fontId="3" fillId="0" borderId="0" xfId="0" applyNumberFormat="1" applyFont="1"/>
    <xf numFmtId="0" fontId="3" fillId="2" borderId="0" xfId="0" applyFont="1" applyFill="1" applyAlignment="1"/>
    <xf numFmtId="3" fontId="8" fillId="2" borderId="0" xfId="0" applyNumberFormat="1" applyFont="1" applyFill="1" applyAlignment="1"/>
    <xf numFmtId="3" fontId="3" fillId="2" borderId="0" xfId="0" applyNumberFormat="1" applyFont="1" applyFill="1" applyAlignment="1"/>
    <xf numFmtId="3" fontId="2" fillId="0" borderId="0" xfId="0" applyNumberFormat="1" applyFont="1"/>
    <xf numFmtId="165" fontId="12" fillId="0" borderId="0" xfId="0" applyNumberFormat="1" applyFont="1" applyAlignment="1"/>
    <xf numFmtId="9" fontId="5" fillId="0" borderId="0" xfId="0" applyNumberFormat="1" applyFont="1" applyAlignment="1"/>
    <xf numFmtId="9" fontId="5" fillId="0" borderId="0" xfId="0" applyNumberFormat="1" applyFont="1" applyAlignment="1">
      <alignment horizontal="right"/>
    </xf>
    <xf numFmtId="164" fontId="2" fillId="0" borderId="0" xfId="0" applyNumberFormat="1" applyFont="1"/>
    <xf numFmtId="167" fontId="3" fillId="0" borderId="0" xfId="0" applyNumberFormat="1" applyFont="1" applyAlignment="1"/>
    <xf numFmtId="3" fontId="3" fillId="0" borderId="0" xfId="0" applyNumberFormat="1" applyFont="1"/>
    <xf numFmtId="167" fontId="8" fillId="0" borderId="0" xfId="0" applyNumberFormat="1" applyFont="1" applyAlignment="1"/>
    <xf numFmtId="0" fontId="10" fillId="0" borderId="0" xfId="0" applyFont="1"/>
    <xf numFmtId="0" fontId="8" fillId="0" borderId="0" xfId="0" applyFont="1" applyAlignment="1"/>
    <xf numFmtId="0" fontId="13" fillId="0" borderId="0" xfId="0" applyFont="1" applyAlignment="1">
      <alignment wrapText="1"/>
    </xf>
    <xf numFmtId="165" fontId="8" fillId="0" borderId="0" xfId="0" applyNumberFormat="1" applyFont="1"/>
    <xf numFmtId="165" fontId="3" fillId="0" borderId="0" xfId="0" applyNumberFormat="1" applyFont="1" applyAlignment="1"/>
    <xf numFmtId="165" fontId="3" fillId="0" borderId="0" xfId="0" applyNumberFormat="1" applyFont="1"/>
    <xf numFmtId="166" fontId="3" fillId="0" borderId="0" xfId="0" applyNumberFormat="1" applyFont="1" applyAlignment="1"/>
    <xf numFmtId="165" fontId="0" fillId="0" borderId="0" xfId="0" applyNumberFormat="1" applyFont="1" applyAlignment="1"/>
    <xf numFmtId="0" fontId="3" fillId="3" borderId="0" xfId="0" applyFont="1" applyFill="1"/>
    <xf numFmtId="165" fontId="3" fillId="3" borderId="0" xfId="0" applyNumberFormat="1" applyFont="1" applyFill="1"/>
    <xf numFmtId="0" fontId="1" fillId="4" borderId="0" xfId="0" applyFont="1" applyFill="1" applyAlignment="1"/>
    <xf numFmtId="0" fontId="3" fillId="4" borderId="0" xfId="0" applyFont="1" applyFill="1"/>
    <xf numFmtId="164" fontId="1" fillId="4" borderId="0" xfId="0" applyNumberFormat="1" applyFont="1" applyFill="1"/>
    <xf numFmtId="44" fontId="3" fillId="0" borderId="0" xfId="0" applyNumberFormat="1" applyFont="1" applyAlignment="1"/>
    <xf numFmtId="168" fontId="3" fillId="0" borderId="0" xfId="0" applyNumberFormat="1" applyFont="1" applyAlignment="1"/>
    <xf numFmtId="3" fontId="1" fillId="0" borderId="0" xfId="0" applyNumberFormat="1" applyFont="1" applyAlignment="1"/>
    <xf numFmtId="165" fontId="1" fillId="0" borderId="0" xfId="0" applyNumberFormat="1" applyFont="1" applyAlignment="1"/>
    <xf numFmtId="166" fontId="14" fillId="0" borderId="0" xfId="0" applyNumberFormat="1" applyFont="1" applyAlignment="1">
      <alignment horizontal="right"/>
    </xf>
    <xf numFmtId="0" fontId="3" fillId="0" borderId="0" xfId="0" applyFont="1" applyAlignment="1"/>
    <xf numFmtId="3" fontId="15" fillId="0" borderId="0" xfId="0" applyNumberFormat="1" applyFont="1" applyAlignment="1">
      <alignment horizontal="right"/>
    </xf>
    <xf numFmtId="3" fontId="5" fillId="0" borderId="0" xfId="0" applyNumberFormat="1" applyFont="1" applyAlignment="1">
      <alignment horizontal="right"/>
    </xf>
    <xf numFmtId="0" fontId="3"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right"/>
    </xf>
    <xf numFmtId="166" fontId="3" fillId="0" borderId="0" xfId="0" applyNumberFormat="1" applyFont="1" applyAlignment="1">
      <alignment horizontal="right"/>
    </xf>
    <xf numFmtId="166" fontId="5" fillId="0" borderId="0" xfId="0" applyNumberFormat="1" applyFont="1" applyAlignment="1">
      <alignment horizontal="right"/>
    </xf>
    <xf numFmtId="0" fontId="5" fillId="0" borderId="0" xfId="0" applyFont="1" applyAlignment="1">
      <alignment horizontal="right"/>
    </xf>
    <xf numFmtId="0" fontId="3" fillId="2" borderId="0" xfId="0" applyFont="1" applyFill="1" applyAlignment="1">
      <alignment horizontal="right"/>
    </xf>
    <xf numFmtId="166" fontId="5" fillId="2" borderId="0" xfId="0" applyNumberFormat="1" applyFont="1" applyFill="1" applyAlignment="1">
      <alignment horizontal="right"/>
    </xf>
    <xf numFmtId="0" fontId="10" fillId="0" borderId="0" xfId="0" applyFont="1" applyAlignment="1">
      <alignment horizontal="right"/>
    </xf>
    <xf numFmtId="0" fontId="3" fillId="4" borderId="0" xfId="0" applyFont="1" applyFill="1" applyAlignment="1"/>
    <xf numFmtId="3" fontId="16" fillId="4" borderId="0" xfId="0" applyNumberFormat="1" applyFont="1" applyFill="1" applyAlignment="1"/>
    <xf numFmtId="165" fontId="3" fillId="4" borderId="0" xfId="0" applyNumberFormat="1" applyFont="1" applyFill="1" applyAlignment="1"/>
    <xf numFmtId="10" fontId="3" fillId="4" borderId="0" xfId="0" applyNumberFormat="1" applyFont="1" applyFill="1" applyAlignment="1"/>
    <xf numFmtId="0" fontId="6" fillId="0" borderId="0" xfId="0" applyFont="1" applyAlignment="1"/>
    <xf numFmtId="3" fontId="12" fillId="0" borderId="0" xfId="0" applyNumberFormat="1" applyFont="1" applyAlignment="1"/>
    <xf numFmtId="44" fontId="17" fillId="0" borderId="0" xfId="0" applyNumberFormat="1" applyFont="1" applyAlignment="1"/>
    <xf numFmtId="10" fontId="8" fillId="0" borderId="0" xfId="0" applyNumberFormat="1" applyFont="1" applyAlignment="1"/>
    <xf numFmtId="0" fontId="10" fillId="2" borderId="0" xfId="0" applyFont="1" applyFill="1" applyAlignment="1"/>
    <xf numFmtId="0" fontId="5" fillId="2" borderId="0" xfId="0" applyFont="1" applyFill="1"/>
    <xf numFmtId="165" fontId="15" fillId="2" borderId="0" xfId="0" applyNumberFormat="1" applyFont="1" applyFill="1" applyAlignment="1"/>
    <xf numFmtId="166" fontId="14" fillId="2" borderId="0" xfId="0" applyNumberFormat="1" applyFont="1" applyFill="1" applyAlignment="1"/>
    <xf numFmtId="0" fontId="15" fillId="2" borderId="0" xfId="0" applyFont="1" applyFill="1"/>
    <xf numFmtId="3" fontId="15" fillId="2" borderId="0" xfId="0" applyNumberFormat="1" applyFont="1" applyFill="1" applyAlignment="1"/>
    <xf numFmtId="165" fontId="15" fillId="0" borderId="0" xfId="0" applyNumberFormat="1" applyFont="1" applyAlignment="1"/>
    <xf numFmtId="3" fontId="15" fillId="0" borderId="0" xfId="0" applyNumberFormat="1" applyFont="1" applyAlignment="1"/>
    <xf numFmtId="0" fontId="15" fillId="0" borderId="0" xfId="0" applyFont="1"/>
    <xf numFmtId="166" fontId="14" fillId="0" borderId="0" xfId="0" applyNumberFormat="1" applyFont="1" applyAlignment="1"/>
    <xf numFmtId="9" fontId="15" fillId="0" borderId="0" xfId="0" applyNumberFormat="1" applyFont="1" applyAlignment="1"/>
    <xf numFmtId="0" fontId="14" fillId="0" borderId="0" xfId="0" applyFont="1" applyAlignment="1">
      <alignment horizontal="right"/>
    </xf>
    <xf numFmtId="0" fontId="1" fillId="0" borderId="1" xfId="0" applyFont="1" applyBorder="1" applyAlignment="1">
      <alignment horizontal="center"/>
    </xf>
    <xf numFmtId="0" fontId="7"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705225" cy="37052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705225" cy="37052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20:Z33"/>
  <sheetViews>
    <sheetView showGridLines="0" tabSelected="1" workbookViewId="0"/>
  </sheetViews>
  <sheetFormatPr defaultColWidth="14.42578125" defaultRowHeight="15.75" customHeight="1" x14ac:dyDescent="0.2"/>
  <sheetData>
    <row r="20" spans="1:26" x14ac:dyDescent="0.2">
      <c r="A20" s="2" t="s">
        <v>1</v>
      </c>
    </row>
    <row r="21" spans="1:26" x14ac:dyDescent="0.2">
      <c r="A21" s="2" t="s">
        <v>2</v>
      </c>
    </row>
    <row r="23" spans="1:26" x14ac:dyDescent="0.2">
      <c r="A23" s="4" t="s">
        <v>3</v>
      </c>
      <c r="B23" s="2" t="s">
        <v>4</v>
      </c>
    </row>
    <row r="24" spans="1:26" x14ac:dyDescent="0.2">
      <c r="A24" s="5" t="s">
        <v>5</v>
      </c>
      <c r="B24" s="2" t="s">
        <v>6</v>
      </c>
    </row>
    <row r="27" spans="1:26" x14ac:dyDescent="0.2">
      <c r="A27" s="7" t="s">
        <v>172</v>
      </c>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
      <c r="A30" s="7" t="s">
        <v>10</v>
      </c>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
      <c r="A31" s="12"/>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
      <c r="A32" s="7" t="s">
        <v>16</v>
      </c>
      <c r="B32" s="3"/>
      <c r="C32" s="3"/>
      <c r="D32" s="3"/>
      <c r="E32" s="3"/>
      <c r="F32" s="3"/>
      <c r="G32" s="3"/>
      <c r="H32" s="3"/>
      <c r="I32" s="3"/>
      <c r="J32" s="3"/>
      <c r="K32" s="3"/>
      <c r="L32" s="3"/>
      <c r="M32" s="3"/>
      <c r="N32" s="3"/>
      <c r="O32" s="3"/>
      <c r="P32" s="3"/>
      <c r="Q32" s="3"/>
      <c r="R32" s="3"/>
      <c r="S32" s="3"/>
      <c r="T32" s="3"/>
      <c r="U32" s="3"/>
      <c r="V32" s="3"/>
      <c r="W32" s="3"/>
      <c r="X32" s="3"/>
      <c r="Y32" s="3"/>
      <c r="Z32" s="3"/>
    </row>
    <row r="33" spans="1:1" x14ac:dyDescent="0.2">
      <c r="A33" s="16"/>
    </row>
  </sheetData>
  <printOptions horizontalCentered="1" gridLines="1"/>
  <pageMargins left="0.7" right="0.7" top="0.75" bottom="0.75" header="0" footer="0"/>
  <pageSetup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F59"/>
  <sheetViews>
    <sheetView showGridLines="0" workbookViewId="0">
      <pane xSplit="1" ySplit="7" topLeftCell="B8" activePane="bottomRight" state="frozen"/>
      <selection pane="topRight" activeCell="B1" sqref="B1"/>
      <selection pane="bottomLeft" activeCell="A8" sqref="A8"/>
      <selection pane="bottomRight" activeCell="B8" sqref="B8"/>
    </sheetView>
  </sheetViews>
  <sheetFormatPr defaultColWidth="14.42578125" defaultRowHeight="15.75" customHeight="1" outlineLevelRow="1" outlineLevelCol="1" x14ac:dyDescent="0.2"/>
  <cols>
    <col min="1" max="1" width="40.5703125" customWidth="1"/>
    <col min="2" max="2" width="4.7109375" customWidth="1" collapsed="1"/>
    <col min="3" max="10" width="11.7109375" hidden="1" customWidth="1" outlineLevel="1"/>
    <col min="11" max="23" width="11.7109375" customWidth="1"/>
    <col min="24" max="24" width="7.5703125" customWidth="1"/>
    <col min="25" max="29" width="11.7109375" customWidth="1"/>
    <col min="30" max="30" width="7.5703125" customWidth="1"/>
    <col min="31" max="32" width="11.7109375" customWidth="1"/>
  </cols>
  <sheetData>
    <row r="1" spans="1:32" ht="12.75" x14ac:dyDescent="0.2">
      <c r="A1" s="1"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2.75" x14ac:dyDescent="0.2">
      <c r="A2" s="6" t="s">
        <v>7</v>
      </c>
      <c r="B2" s="3"/>
      <c r="C2" s="3"/>
      <c r="D2" s="3"/>
      <c r="E2" s="3"/>
      <c r="F2" s="3"/>
      <c r="G2" s="3"/>
      <c r="H2" s="3"/>
      <c r="I2" s="3"/>
      <c r="J2" s="3"/>
      <c r="K2" s="3"/>
      <c r="L2" s="3"/>
      <c r="M2" s="3"/>
      <c r="N2" s="3"/>
      <c r="O2" s="3"/>
      <c r="P2" s="3"/>
      <c r="Q2" s="3"/>
      <c r="R2" s="3"/>
      <c r="S2" s="3"/>
      <c r="T2" s="3"/>
      <c r="U2" s="9"/>
      <c r="V2" s="9"/>
      <c r="W2" s="9"/>
      <c r="X2" s="10"/>
      <c r="Y2" s="3"/>
      <c r="Z2" s="3"/>
      <c r="AA2" s="3"/>
      <c r="AB2" s="3"/>
      <c r="AC2" s="3"/>
      <c r="AD2" s="10"/>
      <c r="AE2" s="3"/>
      <c r="AF2" s="3"/>
    </row>
    <row r="3" spans="1:32" ht="12.75" x14ac:dyDescent="0.2">
      <c r="A3" s="8" t="s">
        <v>9</v>
      </c>
      <c r="B3" s="3"/>
      <c r="X3" s="10"/>
      <c r="Y3" s="3"/>
      <c r="Z3" s="3"/>
      <c r="AA3" s="3"/>
      <c r="AB3" s="3"/>
      <c r="AC3" s="3"/>
      <c r="AD3" s="10"/>
      <c r="AE3" s="3"/>
      <c r="AF3" s="3"/>
    </row>
    <row r="4" spans="1:32" ht="12.75" collapsed="1" x14ac:dyDescent="0.2">
      <c r="A4" s="8" t="s">
        <v>12</v>
      </c>
      <c r="B4" s="3"/>
      <c r="C4" s="110" t="s">
        <v>13</v>
      </c>
      <c r="D4" s="111"/>
      <c r="E4" s="111"/>
      <c r="F4" s="111"/>
      <c r="G4" s="110" t="s">
        <v>13</v>
      </c>
      <c r="H4" s="111"/>
      <c r="I4" s="111"/>
      <c r="J4" s="111"/>
      <c r="K4" s="110" t="s">
        <v>13</v>
      </c>
      <c r="L4" s="111"/>
      <c r="M4" s="111"/>
      <c r="N4" s="111"/>
      <c r="O4" s="110" t="s">
        <v>13</v>
      </c>
      <c r="P4" s="111"/>
      <c r="Q4" s="111"/>
      <c r="R4" s="111"/>
      <c r="S4" s="110" t="s">
        <v>13</v>
      </c>
      <c r="T4" s="111"/>
      <c r="U4" s="111"/>
      <c r="V4" s="111"/>
      <c r="W4" s="13"/>
      <c r="X4" s="3"/>
      <c r="Y4" s="110" t="s">
        <v>14</v>
      </c>
      <c r="Z4" s="111"/>
      <c r="AA4" s="111"/>
      <c r="AB4" s="111"/>
      <c r="AC4" s="111"/>
      <c r="AD4" s="3"/>
      <c r="AE4" s="110" t="s">
        <v>15</v>
      </c>
      <c r="AF4" s="111"/>
    </row>
    <row r="5" spans="1:32" ht="12.75" hidden="1" outlineLevel="1" x14ac:dyDescent="0.2">
      <c r="A5" s="14"/>
      <c r="B5" s="14"/>
      <c r="C5" s="15">
        <v>42094</v>
      </c>
      <c r="D5" s="18">
        <f t="shared" ref="D5:U5" si="0">EOMONTH(C5,3)</f>
        <v>42185</v>
      </c>
      <c r="E5" s="18">
        <f t="shared" si="0"/>
        <v>42277</v>
      </c>
      <c r="F5" s="18">
        <f t="shared" si="0"/>
        <v>42369</v>
      </c>
      <c r="G5" s="18">
        <f t="shared" si="0"/>
        <v>42460</v>
      </c>
      <c r="H5" s="18">
        <f t="shared" si="0"/>
        <v>42551</v>
      </c>
      <c r="I5" s="18">
        <f t="shared" si="0"/>
        <v>42643</v>
      </c>
      <c r="J5" s="18">
        <f t="shared" si="0"/>
        <v>42735</v>
      </c>
      <c r="K5" s="18">
        <f t="shared" si="0"/>
        <v>42825</v>
      </c>
      <c r="L5" s="18">
        <f t="shared" si="0"/>
        <v>42916</v>
      </c>
      <c r="M5" s="18">
        <f t="shared" si="0"/>
        <v>43008</v>
      </c>
      <c r="N5" s="18">
        <f t="shared" si="0"/>
        <v>43100</v>
      </c>
      <c r="O5" s="18">
        <f t="shared" si="0"/>
        <v>43190</v>
      </c>
      <c r="P5" s="18">
        <f t="shared" si="0"/>
        <v>43281</v>
      </c>
      <c r="Q5" s="18">
        <f t="shared" si="0"/>
        <v>43373</v>
      </c>
      <c r="R5" s="18">
        <f t="shared" si="0"/>
        <v>43465</v>
      </c>
      <c r="S5" s="18">
        <f t="shared" si="0"/>
        <v>43555</v>
      </c>
      <c r="T5" s="18">
        <f t="shared" si="0"/>
        <v>43646</v>
      </c>
      <c r="U5" s="18">
        <f t="shared" si="0"/>
        <v>43738</v>
      </c>
      <c r="V5" s="18">
        <v>43830</v>
      </c>
      <c r="W5" s="18">
        <v>43921</v>
      </c>
      <c r="X5" s="14"/>
      <c r="Y5" s="1"/>
      <c r="Z5" s="1"/>
      <c r="AA5" s="1"/>
      <c r="AB5" s="1"/>
      <c r="AC5" s="1"/>
      <c r="AD5" s="14"/>
      <c r="AE5" s="18">
        <f>EOMONTH(AF5,-12)</f>
        <v>43555</v>
      </c>
      <c r="AF5" s="19">
        <v>43921</v>
      </c>
    </row>
    <row r="6" spans="1:32" ht="12.75" x14ac:dyDescent="0.2">
      <c r="A6" s="14"/>
      <c r="B6" s="14"/>
      <c r="C6" s="20" t="s">
        <v>18</v>
      </c>
      <c r="D6" s="20" t="s">
        <v>19</v>
      </c>
      <c r="E6" s="20" t="s">
        <v>20</v>
      </c>
      <c r="F6" s="20" t="s">
        <v>21</v>
      </c>
      <c r="G6" s="20" t="s">
        <v>18</v>
      </c>
      <c r="H6" s="20" t="s">
        <v>19</v>
      </c>
      <c r="I6" s="20" t="s">
        <v>20</v>
      </c>
      <c r="J6" s="20" t="s">
        <v>21</v>
      </c>
      <c r="K6" s="20" t="s">
        <v>18</v>
      </c>
      <c r="L6" s="20" t="s">
        <v>19</v>
      </c>
      <c r="M6" s="20" t="s">
        <v>20</v>
      </c>
      <c r="N6" s="20" t="s">
        <v>21</v>
      </c>
      <c r="O6" s="20" t="s">
        <v>18</v>
      </c>
      <c r="P6" s="20" t="s">
        <v>19</v>
      </c>
      <c r="Q6" s="20" t="s">
        <v>20</v>
      </c>
      <c r="R6" s="20" t="s">
        <v>21</v>
      </c>
      <c r="S6" s="20" t="s">
        <v>18</v>
      </c>
      <c r="T6" s="20" t="s">
        <v>19</v>
      </c>
      <c r="U6" s="20" t="s">
        <v>20</v>
      </c>
      <c r="V6" s="20" t="s">
        <v>21</v>
      </c>
      <c r="W6" s="20" t="s">
        <v>18</v>
      </c>
      <c r="X6" s="14"/>
      <c r="Y6" s="1" t="s">
        <v>21</v>
      </c>
      <c r="Z6" s="1" t="s">
        <v>21</v>
      </c>
      <c r="AA6" s="1" t="s">
        <v>21</v>
      </c>
      <c r="AB6" s="1" t="s">
        <v>21</v>
      </c>
      <c r="AC6" s="1" t="s">
        <v>21</v>
      </c>
      <c r="AD6" s="14"/>
      <c r="AE6" s="1" t="s">
        <v>18</v>
      </c>
      <c r="AF6" s="1" t="s">
        <v>18</v>
      </c>
    </row>
    <row r="7" spans="1:32" ht="12.75" x14ac:dyDescent="0.2">
      <c r="A7" s="21"/>
      <c r="B7" s="14"/>
      <c r="C7" s="1">
        <v>2015</v>
      </c>
      <c r="D7" s="1">
        <v>2015</v>
      </c>
      <c r="E7" s="1">
        <v>2015</v>
      </c>
      <c r="F7" s="1">
        <v>2015</v>
      </c>
      <c r="G7" s="1">
        <v>2016</v>
      </c>
      <c r="H7" s="1">
        <v>2016</v>
      </c>
      <c r="I7" s="1">
        <v>2016</v>
      </c>
      <c r="J7" s="1">
        <v>2016</v>
      </c>
      <c r="K7" s="1">
        <v>2017</v>
      </c>
      <c r="L7" s="1">
        <v>2017</v>
      </c>
      <c r="M7" s="1">
        <v>2017</v>
      </c>
      <c r="N7" s="1">
        <v>2017</v>
      </c>
      <c r="O7" s="1">
        <v>2018</v>
      </c>
      <c r="P7" s="1">
        <v>2018</v>
      </c>
      <c r="Q7" s="1">
        <v>2018</v>
      </c>
      <c r="R7" s="1">
        <v>2018</v>
      </c>
      <c r="S7" s="1">
        <v>2019</v>
      </c>
      <c r="T7" s="1">
        <v>2019</v>
      </c>
      <c r="U7" s="1">
        <v>2019</v>
      </c>
      <c r="V7" s="1">
        <v>2019</v>
      </c>
      <c r="W7" s="1">
        <v>2020</v>
      </c>
      <c r="X7" s="14"/>
      <c r="Y7" s="1">
        <v>2015</v>
      </c>
      <c r="Z7" s="1">
        <v>2016</v>
      </c>
      <c r="AA7" s="1">
        <v>2017</v>
      </c>
      <c r="AB7" s="1">
        <v>2018</v>
      </c>
      <c r="AC7" s="1">
        <v>2019</v>
      </c>
      <c r="AD7" s="14"/>
      <c r="AE7" s="1">
        <v>2019</v>
      </c>
      <c r="AF7" s="1">
        <v>2020</v>
      </c>
    </row>
    <row r="8" spans="1:32" ht="12.75" x14ac:dyDescent="0.2">
      <c r="A8" s="21" t="s">
        <v>25</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ht="12.75" x14ac:dyDescent="0.2">
      <c r="A9" s="9" t="s">
        <v>26</v>
      </c>
      <c r="B9" s="3"/>
      <c r="C9" s="23">
        <v>211110</v>
      </c>
      <c r="D9" s="23">
        <v>259864</v>
      </c>
      <c r="E9" s="23">
        <v>280955</v>
      </c>
      <c r="F9" s="23">
        <v>298516</v>
      </c>
      <c r="G9" s="23">
        <v>300453</v>
      </c>
      <c r="H9" s="23">
        <v>364864</v>
      </c>
      <c r="I9" s="23">
        <v>388347</v>
      </c>
      <c r="J9" s="23">
        <v>402496</v>
      </c>
      <c r="K9" s="23">
        <v>403478</v>
      </c>
      <c r="L9" s="23">
        <v>482065</v>
      </c>
      <c r="M9" s="23">
        <v>510019</v>
      </c>
      <c r="N9" s="23">
        <v>524612</v>
      </c>
      <c r="O9" s="23">
        <v>523037</v>
      </c>
      <c r="P9" s="23">
        <v>625228</v>
      </c>
      <c r="Q9" s="23">
        <v>655384</v>
      </c>
      <c r="R9" s="23">
        <v>667802</v>
      </c>
      <c r="S9" s="23">
        <v>656762</v>
      </c>
      <c r="T9" s="23">
        <v>775510</v>
      </c>
      <c r="U9" s="23">
        <v>816622</v>
      </c>
      <c r="V9" s="23">
        <v>832180</v>
      </c>
      <c r="W9" s="23">
        <v>758101</v>
      </c>
      <c r="X9" s="3"/>
      <c r="Y9" s="22">
        <f t="shared" ref="Y9:AC9" si="1">SUMIFS($C9:$V9,$C$7:$V$7,Y$7)</f>
        <v>1050445</v>
      </c>
      <c r="Z9" s="22">
        <f t="shared" si="1"/>
        <v>1456160</v>
      </c>
      <c r="AA9" s="22">
        <f t="shared" si="1"/>
        <v>1920174</v>
      </c>
      <c r="AB9" s="22">
        <f t="shared" si="1"/>
        <v>2471451</v>
      </c>
      <c r="AC9" s="22">
        <f t="shared" si="1"/>
        <v>3081074</v>
      </c>
      <c r="AD9" s="3"/>
      <c r="AE9" s="22">
        <f>SUMIFS($C9:$W9,$C$5:W$5,"&lt;="&amp;AE$5,$C$5:$W$5,"&gt;"&amp;EOMONTH(AE$5,-12))</f>
        <v>2605176</v>
      </c>
      <c r="AF9" s="22">
        <f>SUMIFS($C9:$W9,$C$5:W$5,"&lt;="&amp;AF$5,$C$5:$W$5,"&gt;"&amp;EOMONTH(AF$5,-12))</f>
        <v>3182413</v>
      </c>
    </row>
    <row r="10" spans="1:32" ht="12.75" x14ac:dyDescent="0.2">
      <c r="A10" s="9" t="s">
        <v>27</v>
      </c>
      <c r="B10" s="3"/>
      <c r="C10" s="24">
        <v>29237</v>
      </c>
      <c r="D10" s="24">
        <v>33630</v>
      </c>
      <c r="E10" s="24">
        <v>32332</v>
      </c>
      <c r="F10" s="24">
        <v>47084</v>
      </c>
      <c r="G10" s="24">
        <v>38838</v>
      </c>
      <c r="H10" s="24">
        <v>32867</v>
      </c>
      <c r="I10" s="24">
        <v>7164</v>
      </c>
      <c r="J10" s="24">
        <v>34</v>
      </c>
      <c r="K10" s="24"/>
      <c r="L10" s="24"/>
      <c r="M10" s="24"/>
      <c r="N10" s="24"/>
      <c r="O10" s="24"/>
      <c r="P10" s="24"/>
      <c r="Q10" s="24"/>
      <c r="R10" s="24"/>
      <c r="S10" s="24"/>
      <c r="T10" s="24"/>
      <c r="U10" s="24"/>
      <c r="V10" s="24"/>
      <c r="W10" s="24"/>
      <c r="X10" s="3"/>
      <c r="Y10" s="26">
        <f t="shared" ref="Y10:Z10" si="2">SUMIFS($C10:$V10,$C$7:$V$7,Y$7)</f>
        <v>142283</v>
      </c>
      <c r="Z10" s="26">
        <f t="shared" si="2"/>
        <v>78903</v>
      </c>
      <c r="AA10" s="26"/>
      <c r="AB10" s="26"/>
      <c r="AC10" s="26"/>
      <c r="AD10" s="3"/>
      <c r="AE10" s="26"/>
      <c r="AF10" s="26"/>
    </row>
    <row r="11" spans="1:32" ht="12.75" x14ac:dyDescent="0.2">
      <c r="A11" s="9" t="s">
        <v>35</v>
      </c>
      <c r="B11" s="3"/>
      <c r="C11" s="24">
        <v>8006</v>
      </c>
      <c r="D11" s="24">
        <v>12928</v>
      </c>
      <c r="E11" s="24">
        <v>14694</v>
      </c>
      <c r="F11" s="24">
        <v>22385</v>
      </c>
      <c r="G11" s="24">
        <v>23796</v>
      </c>
      <c r="H11" s="24">
        <v>29717</v>
      </c>
      <c r="I11" s="24">
        <v>35320</v>
      </c>
      <c r="J11" s="24">
        <v>40518</v>
      </c>
      <c r="K11" s="24">
        <v>49060</v>
      </c>
      <c r="L11" s="24">
        <v>59151</v>
      </c>
      <c r="M11" s="24">
        <v>65051</v>
      </c>
      <c r="N11" s="24">
        <v>79402</v>
      </c>
      <c r="O11" s="24">
        <v>97054</v>
      </c>
      <c r="P11" s="24">
        <v>134332</v>
      </c>
      <c r="Q11" s="24">
        <v>166203</v>
      </c>
      <c r="R11" s="24">
        <v>194117</v>
      </c>
      <c r="S11" s="24">
        <v>218857</v>
      </c>
      <c r="T11" s="24">
        <v>251383</v>
      </c>
      <c r="U11" s="24">
        <v>279801</v>
      </c>
      <c r="V11" s="24">
        <v>281415</v>
      </c>
      <c r="W11" s="24">
        <v>296235</v>
      </c>
      <c r="X11" s="3"/>
      <c r="Y11" s="26">
        <f t="shared" ref="Y11:AC11" si="3">SUMIFS($C11:$V11,$C$7:$V$7,Y$7)</f>
        <v>58013</v>
      </c>
      <c r="Z11" s="26">
        <f t="shared" si="3"/>
        <v>129351</v>
      </c>
      <c r="AA11" s="26">
        <f t="shared" si="3"/>
        <v>252664</v>
      </c>
      <c r="AB11" s="26">
        <f t="shared" si="3"/>
        <v>591706</v>
      </c>
      <c r="AC11" s="26">
        <f t="shared" si="3"/>
        <v>1031456</v>
      </c>
      <c r="AD11" s="3"/>
      <c r="AE11" s="26">
        <f t="shared" ref="AE11:AE13" si="4">SUMIFS($C11:$W11,$C$5:W$5,"&lt;="&amp;AE$5,$C$5:$W$5,"&gt;"&amp;EOMONTH(AE$5,-12))</f>
        <v>713509</v>
      </c>
      <c r="AF11" s="26">
        <f t="shared" ref="AF11:AF13" si="5">SUMIFS($C11:$W11,$C$5:W$5,"&lt;="&amp;AF$5,$C$5:$W$5,"&gt;"&amp;EOMONTH(AF$5,-12))</f>
        <v>1108834</v>
      </c>
    </row>
    <row r="12" spans="1:32" ht="12.75" x14ac:dyDescent="0.2">
      <c r="A12" s="9" t="s">
        <v>40</v>
      </c>
      <c r="B12" s="3"/>
      <c r="C12" s="24">
        <v>2204</v>
      </c>
      <c r="D12" s="24">
        <v>3591</v>
      </c>
      <c r="E12" s="24">
        <v>4207</v>
      </c>
      <c r="F12" s="24">
        <v>6375</v>
      </c>
      <c r="G12" s="24">
        <v>16182</v>
      </c>
      <c r="H12" s="24">
        <v>11085</v>
      </c>
      <c r="I12" s="24">
        <v>8171</v>
      </c>
      <c r="J12" s="24">
        <v>8869</v>
      </c>
      <c r="K12" s="24">
        <v>9016</v>
      </c>
      <c r="L12" s="24">
        <v>10289</v>
      </c>
      <c r="M12" s="24">
        <v>10089</v>
      </c>
      <c r="N12" s="24">
        <v>12021</v>
      </c>
      <c r="O12" s="24">
        <v>14417</v>
      </c>
      <c r="P12" s="24">
        <v>18362</v>
      </c>
      <c r="Q12" s="24">
        <v>17558</v>
      </c>
      <c r="R12" s="24">
        <v>18166</v>
      </c>
      <c r="S12" s="24">
        <v>18212</v>
      </c>
      <c r="T12" s="24">
        <v>22260</v>
      </c>
      <c r="U12" s="24">
        <v>21766</v>
      </c>
      <c r="V12" s="24">
        <v>22267</v>
      </c>
      <c r="W12" s="24">
        <v>20675</v>
      </c>
      <c r="X12" s="3"/>
      <c r="Y12" s="26">
        <f t="shared" ref="Y12:AC12" si="6">SUMIFS($C12:$V12,$C$7:$V$7,Y$7)</f>
        <v>16377</v>
      </c>
      <c r="Z12" s="26">
        <f t="shared" si="6"/>
        <v>44307</v>
      </c>
      <c r="AA12" s="26">
        <f t="shared" si="6"/>
        <v>41415</v>
      </c>
      <c r="AB12" s="26">
        <f t="shared" si="6"/>
        <v>68503</v>
      </c>
      <c r="AC12" s="26">
        <f t="shared" si="6"/>
        <v>84505</v>
      </c>
      <c r="AD12" s="3"/>
      <c r="AE12" s="26">
        <f t="shared" si="4"/>
        <v>72298</v>
      </c>
      <c r="AF12" s="26">
        <f t="shared" si="5"/>
        <v>86968</v>
      </c>
    </row>
    <row r="13" spans="1:32" ht="12.75" x14ac:dyDescent="0.2">
      <c r="A13" s="9" t="s">
        <v>43</v>
      </c>
      <c r="B13" s="3"/>
      <c r="C13" s="24"/>
      <c r="D13" s="24"/>
      <c r="E13" s="24"/>
      <c r="F13" s="24"/>
      <c r="G13" s="24"/>
      <c r="H13" s="24"/>
      <c r="I13" s="24"/>
      <c r="J13" s="24"/>
      <c r="K13" s="24"/>
      <c r="L13" s="24"/>
      <c r="M13" s="24"/>
      <c r="N13" s="24"/>
      <c r="O13" s="24">
        <v>34095</v>
      </c>
      <c r="P13" s="24">
        <v>37016</v>
      </c>
      <c r="Q13" s="24">
        <v>42963</v>
      </c>
      <c r="R13" s="24">
        <v>52443</v>
      </c>
      <c r="S13" s="24">
        <v>65528</v>
      </c>
      <c r="T13" s="24">
        <v>125085</v>
      </c>
      <c r="U13" s="24">
        <v>148285</v>
      </c>
      <c r="V13" s="24">
        <v>177567</v>
      </c>
      <c r="W13" s="24">
        <v>306098</v>
      </c>
      <c r="X13" s="3"/>
      <c r="Y13" s="26"/>
      <c r="Z13" s="26"/>
      <c r="AA13" s="26"/>
      <c r="AB13" s="26">
        <f t="shared" ref="AB13:AC13" si="7">SUMIFS($C13:$V13,$C$7:$V$7,AB$7)</f>
        <v>166517</v>
      </c>
      <c r="AC13" s="26">
        <f t="shared" si="7"/>
        <v>516465</v>
      </c>
      <c r="AD13" s="3"/>
      <c r="AE13" s="26">
        <f t="shared" si="4"/>
        <v>197950</v>
      </c>
      <c r="AF13" s="26">
        <f t="shared" si="5"/>
        <v>757035</v>
      </c>
    </row>
    <row r="14" spans="1:32" ht="12.75" x14ac:dyDescent="0.2">
      <c r="A14" s="21" t="s">
        <v>46</v>
      </c>
      <c r="B14" s="3"/>
      <c r="C14" s="43">
        <f t="shared" ref="C14:W14" si="8">SUM(C9:C13)</f>
        <v>250557</v>
      </c>
      <c r="D14" s="43">
        <f t="shared" si="8"/>
        <v>310013</v>
      </c>
      <c r="E14" s="43">
        <f t="shared" si="8"/>
        <v>332188</v>
      </c>
      <c r="F14" s="43">
        <f t="shared" si="8"/>
        <v>374360</v>
      </c>
      <c r="G14" s="43">
        <f t="shared" si="8"/>
        <v>379269</v>
      </c>
      <c r="H14" s="43">
        <f t="shared" si="8"/>
        <v>438533</v>
      </c>
      <c r="I14" s="43">
        <f t="shared" si="8"/>
        <v>439002</v>
      </c>
      <c r="J14" s="43">
        <f t="shared" si="8"/>
        <v>451917</v>
      </c>
      <c r="K14" s="43">
        <f t="shared" si="8"/>
        <v>461554</v>
      </c>
      <c r="L14" s="43">
        <f t="shared" si="8"/>
        <v>551505</v>
      </c>
      <c r="M14" s="43">
        <f t="shared" si="8"/>
        <v>585159</v>
      </c>
      <c r="N14" s="43">
        <f t="shared" si="8"/>
        <v>616035</v>
      </c>
      <c r="O14" s="43">
        <f t="shared" si="8"/>
        <v>668603</v>
      </c>
      <c r="P14" s="43">
        <f t="shared" si="8"/>
        <v>814938</v>
      </c>
      <c r="Q14" s="43">
        <f t="shared" si="8"/>
        <v>882108</v>
      </c>
      <c r="R14" s="43">
        <f t="shared" si="8"/>
        <v>932528</v>
      </c>
      <c r="S14" s="43">
        <f t="shared" si="8"/>
        <v>959359</v>
      </c>
      <c r="T14" s="43">
        <f t="shared" si="8"/>
        <v>1174238</v>
      </c>
      <c r="U14" s="43">
        <f t="shared" si="8"/>
        <v>1266474</v>
      </c>
      <c r="V14" s="43">
        <f t="shared" si="8"/>
        <v>1313429</v>
      </c>
      <c r="W14" s="43">
        <f t="shared" si="8"/>
        <v>1381109</v>
      </c>
      <c r="X14" s="43"/>
      <c r="Y14" s="43">
        <f t="shared" ref="Y14:AC14" si="9">SUMIFS($C14:$V14,$C$7:$V$7,Y$7)</f>
        <v>1267118</v>
      </c>
      <c r="Z14" s="43">
        <f t="shared" si="9"/>
        <v>1708721</v>
      </c>
      <c r="AA14" s="43">
        <f t="shared" si="9"/>
        <v>2214253</v>
      </c>
      <c r="AB14" s="43">
        <f t="shared" si="9"/>
        <v>3298177</v>
      </c>
      <c r="AC14" s="43">
        <f t="shared" si="9"/>
        <v>4713500</v>
      </c>
      <c r="AD14" s="43"/>
      <c r="AE14" s="43">
        <f t="shared" ref="AE14:AF14" si="10">SUMIFS($C14:$V14,$C$5:$V$5,"&lt;="&amp;AE$5,$C$5:$V$5,"&gt;"&amp;EOMONTH(AE$5,-12))</f>
        <v>3588933</v>
      </c>
      <c r="AF14" s="43">
        <f t="shared" si="10"/>
        <v>3754141</v>
      </c>
    </row>
    <row r="15" spans="1:32" ht="12.75" x14ac:dyDescent="0.2">
      <c r="A15" s="9"/>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ht="12.75" x14ac:dyDescent="0.2">
      <c r="A16" s="21" t="s">
        <v>51</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12.75" x14ac:dyDescent="0.2">
      <c r="A17" s="9" t="s">
        <v>30</v>
      </c>
      <c r="B17" s="3"/>
      <c r="C17" s="23">
        <v>132107</v>
      </c>
      <c r="D17" s="23">
        <v>165823</v>
      </c>
      <c r="E17" s="23">
        <v>182007</v>
      </c>
      <c r="F17" s="23">
        <v>192730</v>
      </c>
      <c r="G17" s="23">
        <v>194276</v>
      </c>
      <c r="H17" s="23">
        <v>234857</v>
      </c>
      <c r="I17" s="23">
        <v>254061</v>
      </c>
      <c r="J17" s="23">
        <v>260006</v>
      </c>
      <c r="K17" s="23">
        <v>257778</v>
      </c>
      <c r="L17" s="23">
        <v>311092</v>
      </c>
      <c r="M17" s="23">
        <v>328043</v>
      </c>
      <c r="N17" s="23">
        <v>333377</v>
      </c>
      <c r="O17" s="23">
        <v>327911</v>
      </c>
      <c r="P17" s="23">
        <v>395349</v>
      </c>
      <c r="Q17" s="23">
        <v>414456</v>
      </c>
      <c r="R17" s="23">
        <v>420846</v>
      </c>
      <c r="S17" s="23">
        <v>409069</v>
      </c>
      <c r="T17" s="23">
        <v>490349</v>
      </c>
      <c r="U17" s="23">
        <v>519312</v>
      </c>
      <c r="V17" s="23">
        <v>519241</v>
      </c>
      <c r="W17" s="23">
        <v>465779</v>
      </c>
      <c r="X17" s="3"/>
      <c r="Y17" s="22">
        <f t="shared" ref="Y17:AC17" si="11">SUMIFS($C17:$V17,$C$7:$V$7,Y$7)</f>
        <v>672667</v>
      </c>
      <c r="Z17" s="22">
        <f t="shared" si="11"/>
        <v>943200</v>
      </c>
      <c r="AA17" s="22">
        <f t="shared" si="11"/>
        <v>1230290</v>
      </c>
      <c r="AB17" s="22">
        <f t="shared" si="11"/>
        <v>1558562</v>
      </c>
      <c r="AC17" s="22">
        <f t="shared" si="11"/>
        <v>1937971</v>
      </c>
      <c r="AD17" s="3"/>
      <c r="AE17" s="22">
        <f>SUMIFS($C17:$W17,$C$5:W$5,"&lt;="&amp;AE$5,$C$5:$W$5,"&gt;"&amp;EOMONTH(AE$5,-12))</f>
        <v>1639720</v>
      </c>
      <c r="AF17" s="22">
        <f>SUMIFS($C17:$W17,$C$5:W$5,"&lt;="&amp;AF$5,$C$5:$W$5,"&gt;"&amp;EOMONTH(AF$5,-12))</f>
        <v>1994681</v>
      </c>
    </row>
    <row r="18" spans="1:32" ht="12.75" x14ac:dyDescent="0.2">
      <c r="A18" s="49" t="s">
        <v>55</v>
      </c>
      <c r="B18" s="28"/>
      <c r="C18" s="50">
        <v>36211</v>
      </c>
      <c r="D18" s="50">
        <v>40921</v>
      </c>
      <c r="E18" s="50">
        <v>41410</v>
      </c>
      <c r="F18" s="50">
        <v>46896</v>
      </c>
      <c r="G18" s="50">
        <v>36610</v>
      </c>
      <c r="H18" s="50">
        <v>28672</v>
      </c>
      <c r="I18" s="50">
        <v>4528</v>
      </c>
      <c r="J18" s="50">
        <v>-49</v>
      </c>
      <c r="K18" s="50"/>
      <c r="L18" s="50"/>
      <c r="M18" s="50"/>
      <c r="N18" s="50"/>
      <c r="O18" s="50"/>
      <c r="P18" s="50"/>
      <c r="Q18" s="50"/>
      <c r="R18" s="50"/>
      <c r="S18" s="50"/>
      <c r="T18" s="50"/>
      <c r="U18" s="50"/>
      <c r="V18" s="50"/>
      <c r="W18" s="50"/>
      <c r="X18" s="28"/>
      <c r="Y18" s="51">
        <f t="shared" ref="Y18:Z18" si="12">SUMIFS($C18:$U18,$C$7:$U$7,Y$7)</f>
        <v>165438</v>
      </c>
      <c r="Z18" s="51">
        <f t="shared" si="12"/>
        <v>69761</v>
      </c>
      <c r="AA18" s="51"/>
      <c r="AB18" s="51"/>
      <c r="AC18" s="51"/>
      <c r="AD18" s="28"/>
      <c r="AE18" s="51"/>
      <c r="AF18" s="51"/>
    </row>
    <row r="19" spans="1:32" ht="12.75" x14ac:dyDescent="0.2">
      <c r="A19" s="9" t="s">
        <v>56</v>
      </c>
      <c r="B19" s="3"/>
      <c r="C19" s="24">
        <v>3155</v>
      </c>
      <c r="D19" s="24">
        <v>5072</v>
      </c>
      <c r="E19" s="24">
        <v>5593</v>
      </c>
      <c r="F19" s="24">
        <v>8650</v>
      </c>
      <c r="G19" s="24">
        <v>9033</v>
      </c>
      <c r="H19" s="24">
        <v>10144</v>
      </c>
      <c r="I19" s="24">
        <v>12524</v>
      </c>
      <c r="J19" s="24">
        <v>11431</v>
      </c>
      <c r="K19" s="24">
        <v>15876</v>
      </c>
      <c r="L19" s="24">
        <v>17116</v>
      </c>
      <c r="M19" s="24">
        <v>18169</v>
      </c>
      <c r="N19" s="24">
        <v>24559</v>
      </c>
      <c r="O19" s="24">
        <v>30368</v>
      </c>
      <c r="P19" s="24">
        <v>39784</v>
      </c>
      <c r="Q19" s="24">
        <v>47078</v>
      </c>
      <c r="R19" s="24">
        <v>52654</v>
      </c>
      <c r="S19" s="24">
        <v>60523</v>
      </c>
      <c r="T19" s="24">
        <v>60119</v>
      </c>
      <c r="U19" s="24">
        <v>63352</v>
      </c>
      <c r="V19" s="24">
        <v>50276</v>
      </c>
      <c r="W19" s="24">
        <v>40711</v>
      </c>
      <c r="X19" s="3"/>
      <c r="Y19" s="26">
        <f>SUMIFS($C19:$V19,$C$7:$V$7,Y$7)</f>
        <v>22470</v>
      </c>
      <c r="Z19" s="26">
        <f t="shared" ref="Z19:AB19" si="13">SUMIFS($C19:$U19,$C$7:$U$7,Z$7)</f>
        <v>43132</v>
      </c>
      <c r="AA19" s="26">
        <f t="shared" si="13"/>
        <v>75720</v>
      </c>
      <c r="AB19" s="26">
        <f t="shared" si="13"/>
        <v>169884</v>
      </c>
      <c r="AC19" s="26">
        <f t="shared" ref="AC19:AC24" si="14">SUMIFS($C19:$V19,$C$7:$V$7,AC$7)</f>
        <v>234270</v>
      </c>
      <c r="AD19" s="3"/>
      <c r="AE19" s="26">
        <f t="shared" ref="AE19:AE24" si="15">SUMIFS($C19:$W19,$C$5:W$5,"&lt;="&amp;AE$5,$C$5:$W$5,"&gt;"&amp;EOMONTH(AE$5,-12))</f>
        <v>200039</v>
      </c>
      <c r="AF19" s="26">
        <f t="shared" ref="AF19:AF24" si="16">SUMIFS($C19:$W19,$C$5:W$5,"&lt;="&amp;AF$5,$C$5:$W$5,"&gt;"&amp;EOMONTH(AF$5,-12))</f>
        <v>214458</v>
      </c>
    </row>
    <row r="20" spans="1:32" ht="12.75" x14ac:dyDescent="0.2">
      <c r="A20" s="9" t="s">
        <v>60</v>
      </c>
      <c r="B20" s="3"/>
      <c r="C20" s="24">
        <v>4197</v>
      </c>
      <c r="D20" s="24">
        <v>6713</v>
      </c>
      <c r="E20" s="24">
        <v>5726</v>
      </c>
      <c r="F20" s="24">
        <v>14238</v>
      </c>
      <c r="G20" s="24">
        <v>26740</v>
      </c>
      <c r="H20" s="24">
        <v>14015</v>
      </c>
      <c r="I20" s="24">
        <v>15689</v>
      </c>
      <c r="J20" s="24">
        <v>12118</v>
      </c>
      <c r="K20" s="24">
        <v>12662</v>
      </c>
      <c r="L20" s="24">
        <v>14173</v>
      </c>
      <c r="M20" s="24">
        <v>18775</v>
      </c>
      <c r="N20" s="24">
        <v>16783</v>
      </c>
      <c r="O20" s="24">
        <v>19702</v>
      </c>
      <c r="P20" s="24">
        <v>25536</v>
      </c>
      <c r="Q20" s="24">
        <v>23229</v>
      </c>
      <c r="R20" s="24">
        <v>25647</v>
      </c>
      <c r="S20" s="24">
        <v>26941</v>
      </c>
      <c r="T20" s="24">
        <v>33268</v>
      </c>
      <c r="U20" s="24">
        <v>35672</v>
      </c>
      <c r="V20" s="24">
        <v>40504</v>
      </c>
      <c r="W20" s="24">
        <v>34372</v>
      </c>
      <c r="X20" s="3"/>
      <c r="Y20" s="26">
        <f t="shared" ref="Y20:AB20" si="17">SUMIFS($C20:$U20,$C$7:$U$7,Y$7)</f>
        <v>30874</v>
      </c>
      <c r="Z20" s="26">
        <f t="shared" si="17"/>
        <v>68562</v>
      </c>
      <c r="AA20" s="26">
        <f t="shared" si="17"/>
        <v>62393</v>
      </c>
      <c r="AB20" s="26">
        <f t="shared" si="17"/>
        <v>94114</v>
      </c>
      <c r="AC20" s="26">
        <f t="shared" si="14"/>
        <v>136385</v>
      </c>
      <c r="AD20" s="3"/>
      <c r="AE20" s="26">
        <f t="shared" si="15"/>
        <v>101353</v>
      </c>
      <c r="AF20" s="26">
        <f t="shared" si="16"/>
        <v>143816</v>
      </c>
    </row>
    <row r="21" spans="1:32" ht="12.75" x14ac:dyDescent="0.2">
      <c r="A21" s="9" t="s">
        <v>31</v>
      </c>
      <c r="B21" s="3"/>
      <c r="C21" s="24"/>
      <c r="D21" s="24"/>
      <c r="E21" s="24"/>
      <c r="F21" s="24"/>
      <c r="G21" s="24"/>
      <c r="H21" s="24"/>
      <c r="I21" s="24"/>
      <c r="J21" s="24"/>
      <c r="K21" s="24"/>
      <c r="L21" s="24"/>
      <c r="M21" s="24"/>
      <c r="N21" s="24"/>
      <c r="O21" s="24">
        <v>33872</v>
      </c>
      <c r="P21" s="24">
        <v>36596</v>
      </c>
      <c r="Q21" s="24">
        <v>42408</v>
      </c>
      <c r="R21" s="24">
        <v>51951</v>
      </c>
      <c r="S21" s="24">
        <v>64696</v>
      </c>
      <c r="T21" s="24">
        <v>122938</v>
      </c>
      <c r="U21" s="24">
        <v>146167</v>
      </c>
      <c r="V21" s="24">
        <v>174438</v>
      </c>
      <c r="W21" s="24">
        <v>299426</v>
      </c>
      <c r="X21" s="3"/>
      <c r="Y21" s="26"/>
      <c r="Z21" s="26"/>
      <c r="AA21" s="26"/>
      <c r="AB21" s="26">
        <f>SUMIFS($C21:$U21,$C$7:$U$7,AB$7)</f>
        <v>164827</v>
      </c>
      <c r="AC21" s="26">
        <f t="shared" si="14"/>
        <v>508239</v>
      </c>
      <c r="AD21" s="3"/>
      <c r="AE21" s="26">
        <f t="shared" si="15"/>
        <v>195651</v>
      </c>
      <c r="AF21" s="26">
        <f t="shared" si="16"/>
        <v>742969</v>
      </c>
    </row>
    <row r="22" spans="1:32" ht="12.75" x14ac:dyDescent="0.2">
      <c r="A22" s="9" t="s">
        <v>61</v>
      </c>
      <c r="B22" s="3"/>
      <c r="C22" s="24">
        <v>602</v>
      </c>
      <c r="D22" s="24">
        <v>1142</v>
      </c>
      <c r="E22" s="24">
        <v>1142</v>
      </c>
      <c r="F22" s="24">
        <v>2753</v>
      </c>
      <c r="G22" s="24">
        <v>2370</v>
      </c>
      <c r="H22" s="24">
        <v>1886</v>
      </c>
      <c r="I22" s="24">
        <v>1886</v>
      </c>
      <c r="J22" s="24">
        <v>1886</v>
      </c>
      <c r="K22" s="24">
        <v>1807</v>
      </c>
      <c r="L22" s="24">
        <v>1695</v>
      </c>
      <c r="M22" s="24">
        <v>1556</v>
      </c>
      <c r="N22" s="24">
        <v>1486</v>
      </c>
      <c r="O22" s="24">
        <v>1580</v>
      </c>
      <c r="P22" s="24">
        <v>1857</v>
      </c>
      <c r="Q22" s="24">
        <v>2277</v>
      </c>
      <c r="R22" s="24">
        <v>1376</v>
      </c>
      <c r="S22" s="24">
        <v>1376</v>
      </c>
      <c r="T22" s="24">
        <v>1719</v>
      </c>
      <c r="U22" s="24">
        <v>1934</v>
      </c>
      <c r="V22" s="24">
        <v>1921</v>
      </c>
      <c r="W22" s="24">
        <v>2320</v>
      </c>
      <c r="X22" s="3"/>
      <c r="Y22" s="26">
        <f t="shared" ref="Y22:AB22" si="18">SUMIFS($C22:$U22,$C$7:$U$7,Y$7)</f>
        <v>5639</v>
      </c>
      <c r="Z22" s="26">
        <f t="shared" si="18"/>
        <v>8028</v>
      </c>
      <c r="AA22" s="26">
        <f t="shared" si="18"/>
        <v>6544</v>
      </c>
      <c r="AB22" s="26">
        <f t="shared" si="18"/>
        <v>7090</v>
      </c>
      <c r="AC22" s="26">
        <f t="shared" si="14"/>
        <v>6950</v>
      </c>
      <c r="AD22" s="3"/>
      <c r="AE22" s="26">
        <f t="shared" si="15"/>
        <v>6886</v>
      </c>
      <c r="AF22" s="26">
        <f t="shared" si="16"/>
        <v>7894</v>
      </c>
    </row>
    <row r="23" spans="1:32" ht="12.75" x14ac:dyDescent="0.2">
      <c r="A23" s="21" t="s">
        <v>62</v>
      </c>
      <c r="B23" s="3"/>
      <c r="C23" s="43">
        <f t="shared" ref="C23:W23" si="19">SUM(C17:C22)</f>
        <v>176272</v>
      </c>
      <c r="D23" s="43">
        <f t="shared" si="19"/>
        <v>219671</v>
      </c>
      <c r="E23" s="43">
        <f t="shared" si="19"/>
        <v>235878</v>
      </c>
      <c r="F23" s="43">
        <f t="shared" si="19"/>
        <v>265267</v>
      </c>
      <c r="G23" s="43">
        <f t="shared" si="19"/>
        <v>269029</v>
      </c>
      <c r="H23" s="43">
        <f t="shared" si="19"/>
        <v>289574</v>
      </c>
      <c r="I23" s="43">
        <f t="shared" si="19"/>
        <v>288688</v>
      </c>
      <c r="J23" s="43">
        <f t="shared" si="19"/>
        <v>285392</v>
      </c>
      <c r="K23" s="43">
        <f t="shared" si="19"/>
        <v>288123</v>
      </c>
      <c r="L23" s="43">
        <f t="shared" si="19"/>
        <v>344076</v>
      </c>
      <c r="M23" s="43">
        <f t="shared" si="19"/>
        <v>366543</v>
      </c>
      <c r="N23" s="43">
        <f t="shared" si="19"/>
        <v>376205</v>
      </c>
      <c r="O23" s="43">
        <f t="shared" si="19"/>
        <v>413433</v>
      </c>
      <c r="P23" s="43">
        <f t="shared" si="19"/>
        <v>499122</v>
      </c>
      <c r="Q23" s="43">
        <f t="shared" si="19"/>
        <v>529448</v>
      </c>
      <c r="R23" s="43">
        <f t="shared" si="19"/>
        <v>552474</v>
      </c>
      <c r="S23" s="43">
        <f t="shared" si="19"/>
        <v>562605</v>
      </c>
      <c r="T23" s="43">
        <f t="shared" si="19"/>
        <v>708393</v>
      </c>
      <c r="U23" s="43">
        <f t="shared" si="19"/>
        <v>766437</v>
      </c>
      <c r="V23" s="43">
        <f t="shared" si="19"/>
        <v>786380</v>
      </c>
      <c r="W23" s="43">
        <f t="shared" si="19"/>
        <v>842608</v>
      </c>
      <c r="X23" s="43"/>
      <c r="Y23" s="43">
        <f t="shared" ref="Y23:AB23" si="20">SUMIFS($C23:$U23,$C$7:$U$7,Y$7)</f>
        <v>897088</v>
      </c>
      <c r="Z23" s="43">
        <f t="shared" si="20"/>
        <v>1132683</v>
      </c>
      <c r="AA23" s="43">
        <f t="shared" si="20"/>
        <v>1374947</v>
      </c>
      <c r="AB23" s="43">
        <f t="shared" si="20"/>
        <v>1994477</v>
      </c>
      <c r="AC23" s="43">
        <f t="shared" si="14"/>
        <v>2823815</v>
      </c>
      <c r="AD23" s="43"/>
      <c r="AE23" s="43">
        <f t="shared" si="15"/>
        <v>2143649</v>
      </c>
      <c r="AF23" s="43">
        <f t="shared" si="16"/>
        <v>3103818</v>
      </c>
    </row>
    <row r="24" spans="1:32" ht="12.75" x14ac:dyDescent="0.2">
      <c r="A24" s="21" t="s">
        <v>64</v>
      </c>
      <c r="B24" s="3"/>
      <c r="C24" s="43">
        <f t="shared" ref="C24:W24" si="21">C14-C23</f>
        <v>74285</v>
      </c>
      <c r="D24" s="43">
        <f t="shared" si="21"/>
        <v>90342</v>
      </c>
      <c r="E24" s="43">
        <f t="shared" si="21"/>
        <v>96310</v>
      </c>
      <c r="F24" s="43">
        <f t="shared" si="21"/>
        <v>109093</v>
      </c>
      <c r="G24" s="43">
        <f t="shared" si="21"/>
        <v>110240</v>
      </c>
      <c r="H24" s="43">
        <f t="shared" si="21"/>
        <v>148959</v>
      </c>
      <c r="I24" s="43">
        <f t="shared" si="21"/>
        <v>150314</v>
      </c>
      <c r="J24" s="43">
        <f t="shared" si="21"/>
        <v>166525</v>
      </c>
      <c r="K24" s="43">
        <f t="shared" si="21"/>
        <v>173431</v>
      </c>
      <c r="L24" s="43">
        <f t="shared" si="21"/>
        <v>207429</v>
      </c>
      <c r="M24" s="43">
        <f t="shared" si="21"/>
        <v>218616</v>
      </c>
      <c r="N24" s="43">
        <f t="shared" si="21"/>
        <v>239830</v>
      </c>
      <c r="O24" s="43">
        <f t="shared" si="21"/>
        <v>255170</v>
      </c>
      <c r="P24" s="43">
        <f t="shared" si="21"/>
        <v>315816</v>
      </c>
      <c r="Q24" s="43">
        <f t="shared" si="21"/>
        <v>352660</v>
      </c>
      <c r="R24" s="43">
        <f t="shared" si="21"/>
        <v>380054</v>
      </c>
      <c r="S24" s="43">
        <f t="shared" si="21"/>
        <v>396754</v>
      </c>
      <c r="T24" s="43">
        <f t="shared" si="21"/>
        <v>465845</v>
      </c>
      <c r="U24" s="43">
        <f t="shared" si="21"/>
        <v>500037</v>
      </c>
      <c r="V24" s="43">
        <f t="shared" si="21"/>
        <v>527049</v>
      </c>
      <c r="W24" s="43">
        <f t="shared" si="21"/>
        <v>538501</v>
      </c>
      <c r="X24" s="3"/>
      <c r="Y24" s="43">
        <f t="shared" ref="Y24:AB24" si="22">SUMIFS($C24:$U24,$C$7:$U$7,Y$7)</f>
        <v>370030</v>
      </c>
      <c r="Z24" s="43">
        <f t="shared" si="22"/>
        <v>576038</v>
      </c>
      <c r="AA24" s="43">
        <f t="shared" si="22"/>
        <v>839306</v>
      </c>
      <c r="AB24" s="43">
        <f t="shared" si="22"/>
        <v>1303700</v>
      </c>
      <c r="AC24" s="43">
        <f t="shared" si="14"/>
        <v>1889685</v>
      </c>
      <c r="AD24" s="3"/>
      <c r="AE24" s="43">
        <f t="shared" si="15"/>
        <v>1445284</v>
      </c>
      <c r="AF24" s="43">
        <f t="shared" si="16"/>
        <v>2031432</v>
      </c>
    </row>
    <row r="25" spans="1:32" ht="12.75" x14ac:dyDescent="0.2">
      <c r="A25" s="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12.75" x14ac:dyDescent="0.2">
      <c r="A26" s="21" t="s">
        <v>45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ht="12.75" x14ac:dyDescent="0.2">
      <c r="A27" s="9" t="s">
        <v>67</v>
      </c>
      <c r="B27" s="3"/>
      <c r="C27" s="23">
        <v>39545</v>
      </c>
      <c r="D27" s="23">
        <v>45887</v>
      </c>
      <c r="E27" s="23">
        <v>55020</v>
      </c>
      <c r="F27" s="23">
        <v>59186</v>
      </c>
      <c r="G27" s="23">
        <v>64592</v>
      </c>
      <c r="H27" s="23">
        <v>68638</v>
      </c>
      <c r="I27" s="23">
        <v>70418</v>
      </c>
      <c r="J27" s="23">
        <v>64889</v>
      </c>
      <c r="K27" s="23">
        <v>68582</v>
      </c>
      <c r="L27" s="23">
        <v>78126</v>
      </c>
      <c r="M27" s="23">
        <v>82547</v>
      </c>
      <c r="N27" s="23">
        <v>92633</v>
      </c>
      <c r="O27" s="23">
        <v>105095</v>
      </c>
      <c r="P27" s="23">
        <v>114800</v>
      </c>
      <c r="Q27" s="23">
        <v>135773</v>
      </c>
      <c r="R27" s="23">
        <v>141811</v>
      </c>
      <c r="S27" s="23">
        <v>154350</v>
      </c>
      <c r="T27" s="23">
        <v>174201</v>
      </c>
      <c r="U27" s="23">
        <v>168771</v>
      </c>
      <c r="V27" s="23">
        <v>173284</v>
      </c>
      <c r="W27" s="23">
        <v>194986</v>
      </c>
      <c r="X27" s="3"/>
      <c r="Y27" s="22">
        <f>SUMIFS($C27:$V27,$C$7:$V$7,Y$7)</f>
        <v>199638</v>
      </c>
      <c r="Z27" s="22">
        <f t="shared" ref="Z27:AB27" si="23">SUMIFS($C27:$U27,$C$7:$U$7,Z$7)</f>
        <v>268537</v>
      </c>
      <c r="AA27" s="22">
        <f t="shared" si="23"/>
        <v>321888</v>
      </c>
      <c r="AB27" s="22">
        <f t="shared" si="23"/>
        <v>497479</v>
      </c>
      <c r="AC27" s="22">
        <f t="shared" ref="AC27:AC33" si="24">SUMIFS($C27:$V27,$C$7:$V$7,AC$7)</f>
        <v>670606</v>
      </c>
      <c r="AD27" s="3"/>
      <c r="AE27" s="22">
        <f t="shared" ref="AE27:AE33" si="25">SUMIFS($C27:$W27,$C$5:W$5,"&lt;="&amp;AE$5,$C$5:$W$5,"&gt;"&amp;EOMONTH(AE$5,-12))</f>
        <v>546734</v>
      </c>
      <c r="AF27" s="22">
        <f t="shared" ref="AF27:AF33" si="26">SUMIFS($C27:$W27,$C$5:W$5,"&lt;="&amp;AF$5,$C$5:$W$5,"&gt;"&amp;EOMONTH(AF$5,-12))</f>
        <v>711242</v>
      </c>
    </row>
    <row r="28" spans="1:32" ht="12.75" x14ac:dyDescent="0.2">
      <c r="A28" s="9" t="s">
        <v>69</v>
      </c>
      <c r="B28" s="3"/>
      <c r="C28" s="24">
        <v>36181</v>
      </c>
      <c r="D28" s="24">
        <v>31730</v>
      </c>
      <c r="E28" s="24">
        <v>39259</v>
      </c>
      <c r="F28" s="24">
        <v>38448</v>
      </c>
      <c r="G28" s="24">
        <v>38496</v>
      </c>
      <c r="H28" s="24">
        <v>39220</v>
      </c>
      <c r="I28" s="24">
        <v>46754</v>
      </c>
      <c r="J28" s="24">
        <v>49406</v>
      </c>
      <c r="K28" s="24">
        <v>49900</v>
      </c>
      <c r="L28" s="24">
        <v>59916</v>
      </c>
      <c r="M28" s="24">
        <v>66533</v>
      </c>
      <c r="N28" s="24">
        <v>76821</v>
      </c>
      <c r="O28" s="24">
        <v>77266</v>
      </c>
      <c r="P28" s="24">
        <v>98243</v>
      </c>
      <c r="Q28" s="24">
        <v>116337</v>
      </c>
      <c r="R28" s="24">
        <v>119305</v>
      </c>
      <c r="S28" s="24">
        <v>133713</v>
      </c>
      <c r="T28" s="24">
        <v>156421</v>
      </c>
      <c r="U28" s="24">
        <v>149467</v>
      </c>
      <c r="V28" s="24">
        <v>185231</v>
      </c>
      <c r="W28" s="24">
        <v>194535</v>
      </c>
      <c r="X28" s="3"/>
      <c r="Y28" s="26">
        <f t="shared" ref="Y28:AB28" si="27">SUMIFS($C28:$U28,$C$7:$U$7,Y$7)</f>
        <v>145618</v>
      </c>
      <c r="Z28" s="26">
        <f t="shared" si="27"/>
        <v>173876</v>
      </c>
      <c r="AA28" s="26">
        <f t="shared" si="27"/>
        <v>253170</v>
      </c>
      <c r="AB28" s="26">
        <f t="shared" si="27"/>
        <v>411151</v>
      </c>
      <c r="AC28" s="26">
        <f t="shared" si="24"/>
        <v>624832</v>
      </c>
      <c r="AD28" s="3"/>
      <c r="AE28" s="26">
        <f t="shared" si="25"/>
        <v>467598</v>
      </c>
      <c r="AF28" s="26">
        <f t="shared" si="26"/>
        <v>685654</v>
      </c>
    </row>
    <row r="29" spans="1:32" ht="12.75" x14ac:dyDescent="0.2">
      <c r="A29" s="9" t="s">
        <v>70</v>
      </c>
      <c r="B29" s="3"/>
      <c r="C29" s="24">
        <v>28119</v>
      </c>
      <c r="D29" s="24">
        <v>31804</v>
      </c>
      <c r="E29" s="24">
        <v>37820</v>
      </c>
      <c r="F29" s="24">
        <v>45723</v>
      </c>
      <c r="G29" s="24">
        <v>96107</v>
      </c>
      <c r="H29" s="24">
        <v>50784</v>
      </c>
      <c r="I29" s="24">
        <v>52075</v>
      </c>
      <c r="J29" s="24">
        <v>53027</v>
      </c>
      <c r="K29" s="24">
        <v>56935</v>
      </c>
      <c r="L29" s="24">
        <v>62988</v>
      </c>
      <c r="M29" s="24">
        <v>64312</v>
      </c>
      <c r="N29" s="24">
        <v>66318</v>
      </c>
      <c r="O29" s="24">
        <v>75501</v>
      </c>
      <c r="P29" s="24">
        <v>82772</v>
      </c>
      <c r="Q29" s="24">
        <v>85527</v>
      </c>
      <c r="R29" s="24">
        <v>95445</v>
      </c>
      <c r="S29" s="24">
        <v>101598</v>
      </c>
      <c r="T29" s="24">
        <v>100508</v>
      </c>
      <c r="U29" s="24">
        <v>115980</v>
      </c>
      <c r="V29" s="24">
        <v>118164</v>
      </c>
      <c r="W29" s="24">
        <v>129495</v>
      </c>
      <c r="X29" s="3"/>
      <c r="Y29" s="26">
        <f t="shared" ref="Y29:AB29" si="28">SUMIFS($C29:$U29,$C$7:$U$7,Y$7)</f>
        <v>143466</v>
      </c>
      <c r="Z29" s="26">
        <f t="shared" si="28"/>
        <v>251993</v>
      </c>
      <c r="AA29" s="26">
        <f t="shared" si="28"/>
        <v>250553</v>
      </c>
      <c r="AB29" s="26">
        <f t="shared" si="28"/>
        <v>339245</v>
      </c>
      <c r="AC29" s="26">
        <f t="shared" si="24"/>
        <v>436250</v>
      </c>
      <c r="AD29" s="3"/>
      <c r="AE29" s="26">
        <f t="shared" si="25"/>
        <v>365342</v>
      </c>
      <c r="AF29" s="26">
        <f t="shared" si="26"/>
        <v>464147</v>
      </c>
    </row>
    <row r="30" spans="1:32" ht="12.75" x14ac:dyDescent="0.2">
      <c r="A30" s="9" t="s">
        <v>71</v>
      </c>
      <c r="B30" s="3"/>
      <c r="C30" s="24">
        <v>16322</v>
      </c>
      <c r="D30" s="24">
        <v>8513</v>
      </c>
      <c r="E30" s="24">
        <v>16005</v>
      </c>
      <c r="F30" s="24">
        <v>13169</v>
      </c>
      <c r="G30" s="24">
        <v>7861</v>
      </c>
      <c r="H30" s="24">
        <v>17455</v>
      </c>
      <c r="I30" s="24">
        <v>12885</v>
      </c>
      <c r="J30" s="24">
        <v>13034</v>
      </c>
      <c r="K30" s="24">
        <v>11891</v>
      </c>
      <c r="L30" s="24">
        <v>18401</v>
      </c>
      <c r="M30" s="24">
        <v>19893</v>
      </c>
      <c r="N30" s="24">
        <v>16833</v>
      </c>
      <c r="O30" s="24">
        <v>18031</v>
      </c>
      <c r="P30" s="24">
        <v>21976</v>
      </c>
      <c r="Q30" s="24">
        <v>23596</v>
      </c>
      <c r="R30" s="24">
        <v>24474</v>
      </c>
      <c r="S30" s="24">
        <v>27841</v>
      </c>
      <c r="T30" s="24">
        <v>34264</v>
      </c>
      <c r="U30" s="24">
        <v>32722</v>
      </c>
      <c r="V30" s="24">
        <v>32132</v>
      </c>
      <c r="W30" s="24">
        <v>108883</v>
      </c>
      <c r="X30" s="3"/>
      <c r="Y30" s="26">
        <f t="shared" ref="Y30:AB30" si="29">SUMIFS($C30:$U30,$C$7:$U$7,Y$7)</f>
        <v>54009</v>
      </c>
      <c r="Z30" s="26">
        <f t="shared" si="29"/>
        <v>51235</v>
      </c>
      <c r="AA30" s="26">
        <f t="shared" si="29"/>
        <v>67018</v>
      </c>
      <c r="AB30" s="26">
        <f t="shared" si="29"/>
        <v>88077</v>
      </c>
      <c r="AC30" s="26">
        <f t="shared" si="24"/>
        <v>126959</v>
      </c>
      <c r="AD30" s="3"/>
      <c r="AE30" s="26">
        <f t="shared" si="25"/>
        <v>97887</v>
      </c>
      <c r="AF30" s="26">
        <f t="shared" si="26"/>
        <v>208001</v>
      </c>
    </row>
    <row r="31" spans="1:32" ht="12.75" x14ac:dyDescent="0.2">
      <c r="A31" s="9" t="s">
        <v>74</v>
      </c>
      <c r="B31" s="3"/>
      <c r="C31" s="61">
        <v>468</v>
      </c>
      <c r="D31" s="61">
        <v>482</v>
      </c>
      <c r="E31" s="61">
        <v>423</v>
      </c>
      <c r="F31" s="61">
        <v>384</v>
      </c>
      <c r="G31" s="61">
        <v>317</v>
      </c>
      <c r="H31" s="61">
        <v>222</v>
      </c>
      <c r="I31" s="61">
        <v>164</v>
      </c>
      <c r="J31" s="61">
        <v>147</v>
      </c>
      <c r="K31" s="61">
        <v>205</v>
      </c>
      <c r="L31" s="24">
        <v>222</v>
      </c>
      <c r="M31" s="24">
        <v>222</v>
      </c>
      <c r="N31" s="24">
        <v>234</v>
      </c>
      <c r="O31" s="24">
        <v>269</v>
      </c>
      <c r="P31" s="24">
        <v>672</v>
      </c>
      <c r="Q31" s="24">
        <v>1294</v>
      </c>
      <c r="R31" s="24">
        <v>2127</v>
      </c>
      <c r="S31" s="24">
        <v>1294</v>
      </c>
      <c r="T31" s="24">
        <v>1294</v>
      </c>
      <c r="U31" s="24">
        <v>1003</v>
      </c>
      <c r="V31" s="24">
        <v>890</v>
      </c>
      <c r="W31" s="24">
        <v>890</v>
      </c>
      <c r="X31" s="3"/>
      <c r="Y31" s="26">
        <f t="shared" ref="Y31:AB31" si="30">SUMIFS($C31:$U31,$C$7:$U$7,Y$7)</f>
        <v>1757</v>
      </c>
      <c r="Z31" s="26">
        <f t="shared" si="30"/>
        <v>850</v>
      </c>
      <c r="AA31" s="26">
        <f t="shared" si="30"/>
        <v>883</v>
      </c>
      <c r="AB31" s="26">
        <f t="shared" si="30"/>
        <v>4362</v>
      </c>
      <c r="AC31" s="26">
        <f t="shared" si="24"/>
        <v>4481</v>
      </c>
      <c r="AD31" s="3"/>
      <c r="AE31" s="26">
        <f t="shared" si="25"/>
        <v>5387</v>
      </c>
      <c r="AF31" s="26">
        <f t="shared" si="26"/>
        <v>4077</v>
      </c>
    </row>
    <row r="32" spans="1:32" ht="12.75" x14ac:dyDescent="0.2">
      <c r="A32" s="21" t="s">
        <v>76</v>
      </c>
      <c r="B32" s="3"/>
      <c r="C32" s="43">
        <f t="shared" ref="C32:W32" si="31">SUM(C27:C31)</f>
        <v>120635</v>
      </c>
      <c r="D32" s="43">
        <f t="shared" si="31"/>
        <v>118416</v>
      </c>
      <c r="E32" s="43">
        <f t="shared" si="31"/>
        <v>148527</v>
      </c>
      <c r="F32" s="43">
        <f t="shared" si="31"/>
        <v>156910</v>
      </c>
      <c r="G32" s="43">
        <f t="shared" si="31"/>
        <v>207373</v>
      </c>
      <c r="H32" s="43">
        <f t="shared" si="31"/>
        <v>176319</v>
      </c>
      <c r="I32" s="43">
        <f t="shared" si="31"/>
        <v>182296</v>
      </c>
      <c r="J32" s="43">
        <f t="shared" si="31"/>
        <v>180503</v>
      </c>
      <c r="K32" s="43">
        <f t="shared" si="31"/>
        <v>187513</v>
      </c>
      <c r="L32" s="43">
        <f t="shared" si="31"/>
        <v>219653</v>
      </c>
      <c r="M32" s="43">
        <f t="shared" si="31"/>
        <v>233507</v>
      </c>
      <c r="N32" s="43">
        <f t="shared" si="31"/>
        <v>252839</v>
      </c>
      <c r="O32" s="43">
        <f t="shared" si="31"/>
        <v>276162</v>
      </c>
      <c r="P32" s="43">
        <f t="shared" si="31"/>
        <v>318463</v>
      </c>
      <c r="Q32" s="43">
        <f t="shared" si="31"/>
        <v>362527</v>
      </c>
      <c r="R32" s="43">
        <f t="shared" si="31"/>
        <v>383162</v>
      </c>
      <c r="S32" s="43">
        <f t="shared" si="31"/>
        <v>418796</v>
      </c>
      <c r="T32" s="43">
        <f t="shared" si="31"/>
        <v>466688</v>
      </c>
      <c r="U32" s="43">
        <f t="shared" si="31"/>
        <v>467943</v>
      </c>
      <c r="V32" s="43">
        <f t="shared" si="31"/>
        <v>509701</v>
      </c>
      <c r="W32" s="43">
        <f t="shared" si="31"/>
        <v>628789</v>
      </c>
      <c r="X32" s="43"/>
      <c r="Y32" s="43">
        <f t="shared" ref="Y32:AB32" si="32">SUMIFS($C32:$U32,$C$7:$U$7,Y$7)</f>
        <v>544488</v>
      </c>
      <c r="Z32" s="43">
        <f t="shared" si="32"/>
        <v>746491</v>
      </c>
      <c r="AA32" s="43">
        <f t="shared" si="32"/>
        <v>893512</v>
      </c>
      <c r="AB32" s="43">
        <f t="shared" si="32"/>
        <v>1340314</v>
      </c>
      <c r="AC32" s="43">
        <f t="shared" si="24"/>
        <v>1863128</v>
      </c>
      <c r="AD32" s="43"/>
      <c r="AE32" s="43">
        <f t="shared" si="25"/>
        <v>1482948</v>
      </c>
      <c r="AF32" s="43">
        <f t="shared" si="26"/>
        <v>2073121</v>
      </c>
    </row>
    <row r="33" spans="1:32" ht="12.75" x14ac:dyDescent="0.2">
      <c r="A33" s="21" t="s">
        <v>80</v>
      </c>
      <c r="B33" s="3"/>
      <c r="C33" s="43">
        <f t="shared" ref="C33:W33" si="33">C24-C32</f>
        <v>-46350</v>
      </c>
      <c r="D33" s="43">
        <f t="shared" si="33"/>
        <v>-28074</v>
      </c>
      <c r="E33" s="43">
        <f t="shared" si="33"/>
        <v>-52217</v>
      </c>
      <c r="F33" s="43">
        <f t="shared" si="33"/>
        <v>-47817</v>
      </c>
      <c r="G33" s="43">
        <f t="shared" si="33"/>
        <v>-97133</v>
      </c>
      <c r="H33" s="43">
        <f t="shared" si="33"/>
        <v>-27360</v>
      </c>
      <c r="I33" s="43">
        <f t="shared" si="33"/>
        <v>-31982</v>
      </c>
      <c r="J33" s="43">
        <f t="shared" si="33"/>
        <v>-13978</v>
      </c>
      <c r="K33" s="43">
        <f t="shared" si="33"/>
        <v>-14082</v>
      </c>
      <c r="L33" s="43">
        <f t="shared" si="33"/>
        <v>-12224</v>
      </c>
      <c r="M33" s="43">
        <f t="shared" si="33"/>
        <v>-14891</v>
      </c>
      <c r="N33" s="43">
        <f t="shared" si="33"/>
        <v>-13009</v>
      </c>
      <c r="O33" s="43">
        <f t="shared" si="33"/>
        <v>-20992</v>
      </c>
      <c r="P33" s="43">
        <f t="shared" si="33"/>
        <v>-2647</v>
      </c>
      <c r="Q33" s="43">
        <f t="shared" si="33"/>
        <v>-9867</v>
      </c>
      <c r="R33" s="43">
        <f t="shared" si="33"/>
        <v>-3108</v>
      </c>
      <c r="S33" s="43">
        <f t="shared" si="33"/>
        <v>-22042</v>
      </c>
      <c r="T33" s="43">
        <f t="shared" si="33"/>
        <v>-843</v>
      </c>
      <c r="U33" s="43">
        <f t="shared" si="33"/>
        <v>32094</v>
      </c>
      <c r="V33" s="43">
        <f t="shared" si="33"/>
        <v>17348</v>
      </c>
      <c r="W33" s="43">
        <f t="shared" si="33"/>
        <v>-90288</v>
      </c>
      <c r="X33" s="3"/>
      <c r="Y33" s="43">
        <f t="shared" ref="Y33:AB33" si="34">SUMIFS($C33:$U33,$C$7:$U$7,Y$7)</f>
        <v>-174458</v>
      </c>
      <c r="Z33" s="43">
        <f t="shared" si="34"/>
        <v>-170453</v>
      </c>
      <c r="AA33" s="43">
        <f t="shared" si="34"/>
        <v>-54206</v>
      </c>
      <c r="AB33" s="43">
        <f t="shared" si="34"/>
        <v>-36614</v>
      </c>
      <c r="AC33" s="43">
        <f t="shared" si="24"/>
        <v>26557</v>
      </c>
      <c r="AD33" s="3"/>
      <c r="AE33" s="43">
        <f t="shared" si="25"/>
        <v>-37664</v>
      </c>
      <c r="AF33" s="43">
        <f t="shared" si="26"/>
        <v>-41689</v>
      </c>
    </row>
    <row r="34" spans="1:32" ht="12.75" x14ac:dyDescent="0.2">
      <c r="A34" s="9" t="s">
        <v>82</v>
      </c>
      <c r="B34" s="3"/>
      <c r="C34" s="3"/>
      <c r="D34" s="3"/>
      <c r="E34" s="3"/>
      <c r="F34" s="3"/>
      <c r="G34" s="3"/>
      <c r="H34" s="3"/>
      <c r="I34" s="3"/>
      <c r="J34" s="3"/>
      <c r="K34" s="3"/>
      <c r="L34" s="3"/>
      <c r="M34" s="3"/>
      <c r="N34" s="3"/>
      <c r="O34" s="3"/>
      <c r="P34" s="3"/>
      <c r="Q34" s="3"/>
      <c r="R34" s="3"/>
      <c r="S34" s="3"/>
      <c r="T34" s="3"/>
      <c r="U34" s="3"/>
      <c r="V34" s="63">
        <v>-373445</v>
      </c>
      <c r="W34" s="63"/>
      <c r="X34" s="3"/>
      <c r="Y34" s="3"/>
      <c r="Z34" s="3"/>
      <c r="AA34" s="3"/>
      <c r="AB34" s="3"/>
      <c r="AC34" s="3"/>
      <c r="AD34" s="3"/>
      <c r="AE34" s="3"/>
      <c r="AF34" s="3"/>
    </row>
    <row r="35" spans="1:32" ht="12.75" x14ac:dyDescent="0.2">
      <c r="A35" s="9"/>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2.75" x14ac:dyDescent="0.2">
      <c r="A36" s="9" t="s">
        <v>83</v>
      </c>
      <c r="B36" s="3"/>
      <c r="C36" s="34">
        <v>414</v>
      </c>
      <c r="D36" s="34">
        <v>444</v>
      </c>
      <c r="E36" s="34">
        <v>137</v>
      </c>
      <c r="F36" s="34">
        <v>168</v>
      </c>
      <c r="G36" s="34">
        <v>69</v>
      </c>
      <c r="H36" s="34">
        <v>-129</v>
      </c>
      <c r="I36" s="34">
        <v>-183</v>
      </c>
      <c r="J36" s="34">
        <v>-290</v>
      </c>
      <c r="K36" s="63">
        <v>996</v>
      </c>
      <c r="L36" s="63">
        <v>3494</v>
      </c>
      <c r="M36" s="63">
        <v>3080</v>
      </c>
      <c r="N36" s="63">
        <v>2483</v>
      </c>
      <c r="O36" s="63">
        <v>2112</v>
      </c>
      <c r="P36" s="63">
        <v>3470</v>
      </c>
      <c r="Q36" s="63">
        <v>7224</v>
      </c>
      <c r="R36" s="63">
        <v>5176</v>
      </c>
      <c r="S36" s="63">
        <v>4681</v>
      </c>
      <c r="T36" s="63">
        <v>5143</v>
      </c>
      <c r="U36" s="63">
        <v>5632</v>
      </c>
      <c r="V36" s="63">
        <v>6060</v>
      </c>
      <c r="W36" s="34">
        <v>9206</v>
      </c>
      <c r="X36" s="3"/>
      <c r="Y36" s="65">
        <f>SUMIFS($C36:$V36,$C$7:$V$7,Y$7)</f>
        <v>1163</v>
      </c>
      <c r="Z36" s="65">
        <f t="shared" ref="Z36:AB36" si="35">SUMIFS($C36:$U36,$C$7:$U$7,Z$7)</f>
        <v>-533</v>
      </c>
      <c r="AA36" s="65">
        <f t="shared" si="35"/>
        <v>10053</v>
      </c>
      <c r="AB36" s="65">
        <f t="shared" si="35"/>
        <v>17982</v>
      </c>
      <c r="AC36" s="65">
        <f t="shared" ref="AC36:AC42" si="36">SUMIFS($C36:$V36,$C$7:$V$7,AC$7)</f>
        <v>21516</v>
      </c>
      <c r="AD36" s="3"/>
      <c r="AE36" s="65"/>
      <c r="AF36" s="65"/>
    </row>
    <row r="37" spans="1:32" ht="12.75" x14ac:dyDescent="0.2">
      <c r="A37" s="9" t="s">
        <v>85</v>
      </c>
      <c r="B37" s="3"/>
      <c r="C37" s="34">
        <v>796</v>
      </c>
      <c r="D37" s="34">
        <v>-50</v>
      </c>
      <c r="E37" s="34">
        <v>644</v>
      </c>
      <c r="F37" s="34">
        <v>-940</v>
      </c>
      <c r="G37" s="34">
        <v>-786</v>
      </c>
      <c r="H37" s="34">
        <v>-198</v>
      </c>
      <c r="I37" s="34">
        <v>294</v>
      </c>
      <c r="J37" s="34">
        <v>443</v>
      </c>
      <c r="K37" s="63">
        <v>-497</v>
      </c>
      <c r="L37" s="63">
        <v>-228</v>
      </c>
      <c r="M37" s="63">
        <v>-1226</v>
      </c>
      <c r="N37" s="63">
        <v>356</v>
      </c>
      <c r="O37" s="63">
        <v>707</v>
      </c>
      <c r="P37" s="63">
        <v>-815</v>
      </c>
      <c r="Q37" s="63">
        <v>-37800</v>
      </c>
      <c r="R37" s="63">
        <v>19439</v>
      </c>
      <c r="S37" s="63">
        <v>11299</v>
      </c>
      <c r="T37" s="63">
        <v>1230</v>
      </c>
      <c r="U37" s="63">
        <v>-5541</v>
      </c>
      <c r="V37" s="34">
        <v>-6715</v>
      </c>
      <c r="W37" s="34">
        <v>5862</v>
      </c>
      <c r="X37" s="3"/>
      <c r="Y37" s="65">
        <f t="shared" ref="Y37:AB37" si="37">SUMIFS($C37:$U37,$C$7:$U$7,Y$7)</f>
        <v>450</v>
      </c>
      <c r="Z37" s="65">
        <f t="shared" si="37"/>
        <v>-247</v>
      </c>
      <c r="AA37" s="65">
        <f t="shared" si="37"/>
        <v>-1595</v>
      </c>
      <c r="AB37" s="65">
        <f t="shared" si="37"/>
        <v>-18469</v>
      </c>
      <c r="AC37" s="65">
        <f t="shared" si="36"/>
        <v>273</v>
      </c>
      <c r="AD37" s="3"/>
      <c r="AE37" s="65"/>
      <c r="AF37" s="65"/>
    </row>
    <row r="38" spans="1:32" ht="12.75" x14ac:dyDescent="0.2">
      <c r="A38" s="9" t="s">
        <v>89</v>
      </c>
      <c r="B38" s="3"/>
      <c r="C38" s="30">
        <f t="shared" ref="C38:U38" si="38">C33-SUM(C36:C37)</f>
        <v>-47560</v>
      </c>
      <c r="D38" s="30">
        <f t="shared" si="38"/>
        <v>-28468</v>
      </c>
      <c r="E38" s="30">
        <f t="shared" si="38"/>
        <v>-52998</v>
      </c>
      <c r="F38" s="30">
        <f t="shared" si="38"/>
        <v>-47045</v>
      </c>
      <c r="G38" s="30">
        <f t="shared" si="38"/>
        <v>-96416</v>
      </c>
      <c r="H38" s="30">
        <f t="shared" si="38"/>
        <v>-27033</v>
      </c>
      <c r="I38" s="30">
        <f t="shared" si="38"/>
        <v>-32093</v>
      </c>
      <c r="J38" s="30">
        <f t="shared" si="38"/>
        <v>-14131</v>
      </c>
      <c r="K38" s="30">
        <f t="shared" si="38"/>
        <v>-14581</v>
      </c>
      <c r="L38" s="30">
        <f t="shared" si="38"/>
        <v>-15490</v>
      </c>
      <c r="M38" s="30">
        <f t="shared" si="38"/>
        <v>-16745</v>
      </c>
      <c r="N38" s="30">
        <f t="shared" si="38"/>
        <v>-15848</v>
      </c>
      <c r="O38" s="30">
        <f t="shared" si="38"/>
        <v>-23811</v>
      </c>
      <c r="P38" s="30">
        <f t="shared" si="38"/>
        <v>-5302</v>
      </c>
      <c r="Q38" s="30">
        <f t="shared" si="38"/>
        <v>20709</v>
      </c>
      <c r="R38" s="30">
        <f t="shared" si="38"/>
        <v>-27723</v>
      </c>
      <c r="S38" s="30">
        <f t="shared" si="38"/>
        <v>-38022</v>
      </c>
      <c r="T38" s="30">
        <f t="shared" si="38"/>
        <v>-7216</v>
      </c>
      <c r="U38" s="30">
        <f t="shared" si="38"/>
        <v>32003</v>
      </c>
      <c r="V38" s="30">
        <f t="shared" ref="V38:W38" si="39">V33-V34- SUM(V36:V37)</f>
        <v>391448</v>
      </c>
      <c r="W38" s="30">
        <f t="shared" si="39"/>
        <v>-105356</v>
      </c>
      <c r="X38" s="3"/>
      <c r="Y38" s="43">
        <f t="shared" ref="Y38:AB38" si="40">SUMIF($C$7:$T$7,Y$7,$C38:$T38)</f>
        <v>-176071</v>
      </c>
      <c r="Z38" s="43">
        <f t="shared" si="40"/>
        <v>-169673</v>
      </c>
      <c r="AA38" s="43">
        <f t="shared" si="40"/>
        <v>-62664</v>
      </c>
      <c r="AB38" s="43">
        <f t="shared" si="40"/>
        <v>-36127</v>
      </c>
      <c r="AC38" s="43">
        <f t="shared" si="36"/>
        <v>378213</v>
      </c>
      <c r="AD38" s="3"/>
      <c r="AE38" s="43"/>
      <c r="AF38" s="43"/>
    </row>
    <row r="39" spans="1:32" ht="12.75" collapsed="1" x14ac:dyDescent="0.2">
      <c r="A39" s="9" t="s">
        <v>93</v>
      </c>
      <c r="B39" s="3"/>
      <c r="C39" s="34">
        <v>418</v>
      </c>
      <c r="D39" s="34">
        <v>1152</v>
      </c>
      <c r="E39" s="34">
        <v>932</v>
      </c>
      <c r="F39" s="34">
        <v>1244</v>
      </c>
      <c r="G39" s="63">
        <v>339</v>
      </c>
      <c r="H39" s="63">
        <v>312</v>
      </c>
      <c r="I39" s="63">
        <v>230</v>
      </c>
      <c r="J39" s="63">
        <v>1036</v>
      </c>
      <c r="K39" s="63">
        <v>509</v>
      </c>
      <c r="L39" s="63">
        <v>472</v>
      </c>
      <c r="M39" s="63">
        <v>-647</v>
      </c>
      <c r="N39" s="63">
        <v>-185</v>
      </c>
      <c r="O39" s="63">
        <v>175</v>
      </c>
      <c r="P39" s="63">
        <v>604</v>
      </c>
      <c r="Q39" s="63">
        <v>1066</v>
      </c>
      <c r="R39" s="63">
        <v>481</v>
      </c>
      <c r="S39" s="63">
        <v>129</v>
      </c>
      <c r="T39" s="63">
        <v>-476</v>
      </c>
      <c r="U39" s="63">
        <v>2606</v>
      </c>
      <c r="V39" s="63">
        <v>508</v>
      </c>
      <c r="W39" s="34">
        <v>535</v>
      </c>
      <c r="X39" s="3"/>
      <c r="Y39" s="65">
        <f t="shared" ref="Y39:AB39" si="41">SUMIFS($C39:$U39,$C$7:$U$7,Y$7)</f>
        <v>3746</v>
      </c>
      <c r="Z39" s="65">
        <f t="shared" si="41"/>
        <v>1917</v>
      </c>
      <c r="AA39" s="65">
        <f t="shared" si="41"/>
        <v>149</v>
      </c>
      <c r="AB39" s="65">
        <f t="shared" si="41"/>
        <v>2326</v>
      </c>
      <c r="AC39" s="65">
        <f t="shared" si="36"/>
        <v>2767</v>
      </c>
      <c r="AD39" s="3"/>
      <c r="AE39" s="65"/>
      <c r="AF39" s="65"/>
    </row>
    <row r="40" spans="1:32" ht="12.75" hidden="1" outlineLevel="1" x14ac:dyDescent="0.2">
      <c r="A40" s="9" t="s">
        <v>95</v>
      </c>
      <c r="B40" s="3"/>
      <c r="C40" s="3"/>
      <c r="D40" s="3"/>
      <c r="E40" s="3"/>
      <c r="F40" s="34">
        <v>-32200</v>
      </c>
      <c r="G40" s="3"/>
      <c r="H40" s="3"/>
      <c r="I40" s="3"/>
      <c r="J40" s="3"/>
      <c r="K40" s="3"/>
      <c r="L40" s="3"/>
      <c r="M40" s="3"/>
      <c r="N40" s="3"/>
      <c r="O40" s="3"/>
      <c r="P40" s="3"/>
      <c r="Q40" s="3"/>
      <c r="R40" s="3"/>
      <c r="S40" s="3"/>
      <c r="T40" s="3"/>
      <c r="U40" s="3"/>
      <c r="V40" s="3"/>
      <c r="W40" s="3"/>
      <c r="X40" s="3"/>
      <c r="Y40" s="3"/>
      <c r="Z40" s="3"/>
      <c r="AA40" s="3"/>
      <c r="AB40" s="3"/>
      <c r="AC40" s="3">
        <f t="shared" si="36"/>
        <v>0</v>
      </c>
      <c r="AD40" s="3"/>
      <c r="AE40" s="3" t="e">
        <f t="shared" ref="AE40:AF40" si="42">SUMIF(#REF!,#REF!,$C40:$U40)</f>
        <v>#REF!</v>
      </c>
      <c r="AF40" s="3" t="e">
        <f t="shared" si="42"/>
        <v>#REF!</v>
      </c>
    </row>
    <row r="41" spans="1:32" ht="12.75" hidden="1" outlineLevel="1" x14ac:dyDescent="0.2">
      <c r="A41" s="9" t="s">
        <v>97</v>
      </c>
      <c r="B41" s="3"/>
      <c r="C41" s="3"/>
      <c r="D41" s="3"/>
      <c r="E41" s="3"/>
      <c r="F41" s="32">
        <f>F42+F40</f>
        <v>-80489</v>
      </c>
      <c r="G41" s="3"/>
      <c r="H41" s="3"/>
      <c r="I41" s="3"/>
      <c r="J41" s="3"/>
      <c r="K41" s="3"/>
      <c r="L41" s="3"/>
      <c r="M41" s="3"/>
      <c r="N41" s="3"/>
      <c r="O41" s="3"/>
      <c r="P41" s="3"/>
      <c r="Q41" s="3"/>
      <c r="R41" s="3"/>
      <c r="S41" s="3"/>
      <c r="T41" s="3"/>
      <c r="U41" s="3"/>
      <c r="V41" s="3"/>
      <c r="W41" s="3"/>
      <c r="X41" s="3"/>
      <c r="Y41" s="3"/>
      <c r="Z41" s="3"/>
      <c r="AA41" s="3"/>
      <c r="AB41" s="3"/>
      <c r="AC41" s="3">
        <f t="shared" si="36"/>
        <v>0</v>
      </c>
      <c r="AD41" s="3"/>
      <c r="AE41" s="3" t="e">
        <f t="shared" ref="AE41:AF41" si="43">SUMIF(#REF!,#REF!,$C41:$U41)</f>
        <v>#REF!</v>
      </c>
      <c r="AF41" s="3" t="e">
        <f t="shared" si="43"/>
        <v>#REF!</v>
      </c>
    </row>
    <row r="42" spans="1:32" ht="12.75" x14ac:dyDescent="0.2">
      <c r="A42" s="9" t="s">
        <v>99</v>
      </c>
      <c r="B42" s="3"/>
      <c r="C42" s="30">
        <f t="shared" ref="C42:W42" si="44">C38-C39</f>
        <v>-47978</v>
      </c>
      <c r="D42" s="30">
        <f t="shared" si="44"/>
        <v>-29620</v>
      </c>
      <c r="E42" s="30">
        <f t="shared" si="44"/>
        <v>-53930</v>
      </c>
      <c r="F42" s="30">
        <f t="shared" si="44"/>
        <v>-48289</v>
      </c>
      <c r="G42" s="30">
        <f t="shared" si="44"/>
        <v>-96755</v>
      </c>
      <c r="H42" s="30">
        <f t="shared" si="44"/>
        <v>-27345</v>
      </c>
      <c r="I42" s="30">
        <f t="shared" si="44"/>
        <v>-32323</v>
      </c>
      <c r="J42" s="30">
        <f t="shared" si="44"/>
        <v>-15167</v>
      </c>
      <c r="K42" s="30">
        <f t="shared" si="44"/>
        <v>-15090</v>
      </c>
      <c r="L42" s="30">
        <f t="shared" si="44"/>
        <v>-15962</v>
      </c>
      <c r="M42" s="30">
        <f t="shared" si="44"/>
        <v>-16098</v>
      </c>
      <c r="N42" s="30">
        <f t="shared" si="44"/>
        <v>-15663</v>
      </c>
      <c r="O42" s="30">
        <f t="shared" si="44"/>
        <v>-23986</v>
      </c>
      <c r="P42" s="30">
        <f t="shared" si="44"/>
        <v>-5906</v>
      </c>
      <c r="Q42" s="30">
        <f t="shared" si="44"/>
        <v>19643</v>
      </c>
      <c r="R42" s="30">
        <f t="shared" si="44"/>
        <v>-28204</v>
      </c>
      <c r="S42" s="30">
        <f t="shared" si="44"/>
        <v>-38151</v>
      </c>
      <c r="T42" s="30">
        <f t="shared" si="44"/>
        <v>-6740</v>
      </c>
      <c r="U42" s="30">
        <f t="shared" si="44"/>
        <v>29397</v>
      </c>
      <c r="V42" s="30">
        <f t="shared" si="44"/>
        <v>390940</v>
      </c>
      <c r="W42" s="30">
        <f t="shared" si="44"/>
        <v>-105891</v>
      </c>
      <c r="X42" s="3"/>
      <c r="Y42" s="43">
        <f t="shared" ref="Y42:AB42" si="45">SUMIF($C$7:$T$7,Y$7,$C42:$T42)</f>
        <v>-179817</v>
      </c>
      <c r="Z42" s="43">
        <f t="shared" si="45"/>
        <v>-171590</v>
      </c>
      <c r="AA42" s="43">
        <f t="shared" si="45"/>
        <v>-62813</v>
      </c>
      <c r="AB42" s="43">
        <f t="shared" si="45"/>
        <v>-38453</v>
      </c>
      <c r="AC42" s="43">
        <f t="shared" si="36"/>
        <v>375446</v>
      </c>
      <c r="AD42" s="3"/>
      <c r="AE42" s="43">
        <f>SUMIFS($C42:$W42,$C$5:W$5,"&lt;="&amp;AE$5,$C$5:$W$5,"&gt;"&amp;EOMONTH(AE$5,-12))</f>
        <v>-52618</v>
      </c>
      <c r="AF42" s="43">
        <f>SUMIFS($C42:$W42,$C$5:W$5,"&lt;="&amp;AF$5,$C$5:$W$5,"&gt;"&amp;EOMONTH(AF$5,-12))</f>
        <v>307706</v>
      </c>
    </row>
    <row r="43" spans="1:32" ht="12.75" x14ac:dyDescent="0.2">
      <c r="A43" s="9"/>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2.75" x14ac:dyDescent="0.2">
      <c r="A44" s="21" t="s">
        <v>102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2.75" x14ac:dyDescent="0.2">
      <c r="A45" s="9" t="s">
        <v>103</v>
      </c>
      <c r="B45" s="3"/>
      <c r="C45" s="73">
        <v>-0.33</v>
      </c>
      <c r="D45" s="73">
        <v>-0.2</v>
      </c>
      <c r="E45" s="73">
        <v>-0.35</v>
      </c>
      <c r="F45" s="73">
        <v>-0.34</v>
      </c>
      <c r="G45" s="73">
        <v>-0.28999999999999998</v>
      </c>
      <c r="H45" s="73">
        <v>-0.08</v>
      </c>
      <c r="I45" s="73">
        <v>-0.09</v>
      </c>
      <c r="J45" s="73">
        <v>-0.04</v>
      </c>
      <c r="K45" s="73">
        <v>-0.04</v>
      </c>
      <c r="L45" s="73">
        <v>-0.04</v>
      </c>
      <c r="M45" s="73">
        <v>-0.04</v>
      </c>
      <c r="N45" s="73">
        <v>-0.04</v>
      </c>
      <c r="O45" s="73">
        <v>-0.06</v>
      </c>
      <c r="P45" s="73">
        <v>-0.01</v>
      </c>
      <c r="Q45" s="73">
        <v>0.05</v>
      </c>
      <c r="R45" s="73">
        <v>-7.0000000000000007E-2</v>
      </c>
      <c r="S45" s="73">
        <v>-0.09</v>
      </c>
      <c r="T45" s="73">
        <v>-0.02</v>
      </c>
      <c r="U45" s="73">
        <v>7.0000000000000007E-2</v>
      </c>
      <c r="V45" s="73">
        <v>0.91</v>
      </c>
      <c r="W45" s="73">
        <v>-0.24</v>
      </c>
      <c r="X45" s="3"/>
      <c r="Y45" s="74">
        <v>-1.23</v>
      </c>
      <c r="Z45" s="74">
        <v>-0.5</v>
      </c>
      <c r="AA45" s="74">
        <v>-0.17</v>
      </c>
      <c r="AB45" s="74">
        <v>-0.09</v>
      </c>
      <c r="AC45" s="74">
        <v>0.88</v>
      </c>
      <c r="AD45" s="3"/>
      <c r="AE45" s="3"/>
      <c r="AF45" s="3"/>
    </row>
    <row r="46" spans="1:32" ht="12.75" x14ac:dyDescent="0.2">
      <c r="A46" s="9" t="s">
        <v>107</v>
      </c>
      <c r="B46" s="3"/>
      <c r="C46" s="73">
        <v>-0.33</v>
      </c>
      <c r="D46" s="73">
        <v>-0.2</v>
      </c>
      <c r="E46" s="73">
        <v>-0.35</v>
      </c>
      <c r="F46" s="73">
        <v>-0.34</v>
      </c>
      <c r="G46" s="73">
        <v>-0.28999999999999998</v>
      </c>
      <c r="H46" s="73">
        <v>-0.08</v>
      </c>
      <c r="I46" s="73">
        <v>-0.09</v>
      </c>
      <c r="J46" s="73">
        <v>-0.04</v>
      </c>
      <c r="K46" s="73">
        <v>-0.04</v>
      </c>
      <c r="L46" s="73">
        <v>-0.04</v>
      </c>
      <c r="M46" s="73">
        <v>-0.04</v>
      </c>
      <c r="N46" s="73">
        <v>-0.04</v>
      </c>
      <c r="O46" s="73">
        <v>-0.06</v>
      </c>
      <c r="P46" s="73">
        <v>-0.01</v>
      </c>
      <c r="Q46" s="73">
        <v>0.04</v>
      </c>
      <c r="R46" s="73">
        <v>-7.0000000000000007E-2</v>
      </c>
      <c r="S46" s="73">
        <v>-0.09</v>
      </c>
      <c r="T46" s="73">
        <v>-0.02</v>
      </c>
      <c r="U46" s="73">
        <v>0.06</v>
      </c>
      <c r="V46" s="73">
        <v>0.83</v>
      </c>
      <c r="W46" s="73">
        <v>-0.24</v>
      </c>
      <c r="X46" s="3"/>
      <c r="Y46" s="74">
        <v>-1.23</v>
      </c>
      <c r="Z46" s="74">
        <v>-0.5</v>
      </c>
      <c r="AA46" s="74">
        <v>-0.17</v>
      </c>
      <c r="AB46" s="74">
        <v>-0.09</v>
      </c>
      <c r="AC46" s="74">
        <v>0.81</v>
      </c>
      <c r="AD46" s="3"/>
      <c r="AE46" s="3"/>
      <c r="AF46" s="3"/>
    </row>
    <row r="47" spans="1:32" ht="12.75" x14ac:dyDescent="0.2">
      <c r="A47" s="9"/>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12.75" x14ac:dyDescent="0.2">
      <c r="A48" s="21" t="s">
        <v>110</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2.75" x14ac:dyDescent="0.2">
      <c r="A49" s="9" t="s">
        <v>103</v>
      </c>
      <c r="B49" s="3"/>
      <c r="C49" s="24">
        <v>145069</v>
      </c>
      <c r="D49" s="24">
        <v>149253</v>
      </c>
      <c r="E49" s="24">
        <v>152334</v>
      </c>
      <c r="F49" s="24">
        <v>234548</v>
      </c>
      <c r="G49" s="24">
        <v>331324</v>
      </c>
      <c r="H49" s="24">
        <v>334488</v>
      </c>
      <c r="I49" s="24">
        <v>343893</v>
      </c>
      <c r="J49" s="24">
        <v>356343</v>
      </c>
      <c r="K49" s="24">
        <v>366737</v>
      </c>
      <c r="L49" s="24">
        <v>376357</v>
      </c>
      <c r="M49" s="24">
        <v>383951</v>
      </c>
      <c r="N49" s="24">
        <v>390030</v>
      </c>
      <c r="O49" s="24">
        <v>395948</v>
      </c>
      <c r="P49" s="24">
        <v>403301</v>
      </c>
      <c r="Q49" s="24">
        <v>409690</v>
      </c>
      <c r="R49" s="24">
        <v>413984</v>
      </c>
      <c r="S49" s="24">
        <v>419289</v>
      </c>
      <c r="T49" s="24">
        <v>423305</v>
      </c>
      <c r="U49" s="24">
        <v>427124</v>
      </c>
      <c r="V49" s="24">
        <v>430136</v>
      </c>
      <c r="W49" s="24">
        <v>434940</v>
      </c>
      <c r="X49" s="3"/>
      <c r="Y49" s="24">
        <v>170498</v>
      </c>
      <c r="Z49" s="24">
        <v>341555</v>
      </c>
      <c r="AA49" s="24">
        <v>379344</v>
      </c>
      <c r="AB49" s="24">
        <v>405731</v>
      </c>
      <c r="AC49" s="24">
        <v>424999</v>
      </c>
      <c r="AD49" s="3"/>
      <c r="AE49" s="3"/>
      <c r="AF49" s="3"/>
    </row>
    <row r="50" spans="1:32" ht="12.75" x14ac:dyDescent="0.2">
      <c r="A50" s="9" t="s">
        <v>107</v>
      </c>
      <c r="B50" s="3"/>
      <c r="C50" s="24">
        <v>145069</v>
      </c>
      <c r="D50" s="24">
        <v>149253</v>
      </c>
      <c r="E50" s="24">
        <v>152334</v>
      </c>
      <c r="F50" s="24">
        <v>234548</v>
      </c>
      <c r="G50" s="24">
        <v>331324</v>
      </c>
      <c r="H50" s="24">
        <v>334488</v>
      </c>
      <c r="I50" s="24">
        <v>343893</v>
      </c>
      <c r="J50" s="24">
        <v>356343</v>
      </c>
      <c r="K50" s="24">
        <v>366737</v>
      </c>
      <c r="L50" s="24">
        <v>376357</v>
      </c>
      <c r="M50" s="24">
        <v>383951</v>
      </c>
      <c r="N50" s="24">
        <v>390030</v>
      </c>
      <c r="O50" s="24">
        <v>395948</v>
      </c>
      <c r="P50" s="24">
        <v>403301</v>
      </c>
      <c r="Q50" s="24">
        <v>474915</v>
      </c>
      <c r="R50" s="24">
        <v>413984</v>
      </c>
      <c r="S50" s="24">
        <v>419289</v>
      </c>
      <c r="T50" s="24">
        <v>423305</v>
      </c>
      <c r="U50" s="24">
        <v>466099</v>
      </c>
      <c r="V50" s="24">
        <v>485394</v>
      </c>
      <c r="W50" s="24">
        <v>434940</v>
      </c>
      <c r="X50" s="3"/>
      <c r="Y50" s="24">
        <v>170498</v>
      </c>
      <c r="Z50" s="24">
        <v>341555</v>
      </c>
      <c r="AA50" s="24">
        <v>379344</v>
      </c>
      <c r="AB50" s="24">
        <v>405731</v>
      </c>
      <c r="AC50" s="24">
        <v>466076</v>
      </c>
      <c r="AD50" s="3"/>
      <c r="AE50" s="3"/>
      <c r="AF50" s="3"/>
    </row>
    <row r="51" spans="1:32" ht="12.75" x14ac:dyDescent="0.2">
      <c r="A51" s="9"/>
      <c r="B51" s="3"/>
      <c r="C51" s="24"/>
      <c r="D51" s="24"/>
      <c r="E51" s="24"/>
      <c r="F51" s="24"/>
      <c r="G51" s="24"/>
      <c r="H51" s="24"/>
      <c r="I51" s="24"/>
      <c r="J51" s="24"/>
      <c r="K51" s="24"/>
      <c r="L51" s="24"/>
      <c r="M51" s="24"/>
      <c r="N51" s="24"/>
      <c r="O51" s="24"/>
      <c r="P51" s="24"/>
      <c r="Q51" s="24"/>
      <c r="R51" s="24"/>
      <c r="S51" s="24"/>
      <c r="T51" s="24"/>
      <c r="U51" s="26"/>
      <c r="V51" s="26"/>
      <c r="W51" s="26"/>
      <c r="X51" s="3"/>
      <c r="Y51" s="24"/>
      <c r="Z51" s="24"/>
      <c r="AA51" s="24"/>
      <c r="AB51" s="24"/>
      <c r="AC51" s="24"/>
      <c r="AD51" s="3"/>
      <c r="AE51" s="3"/>
      <c r="AF51" s="3"/>
    </row>
    <row r="52" spans="1:32" ht="12.75" x14ac:dyDescent="0.2">
      <c r="A52" s="21" t="s">
        <v>114</v>
      </c>
      <c r="B52" s="3"/>
      <c r="C52" s="24"/>
      <c r="D52" s="24"/>
      <c r="E52" s="24"/>
      <c r="F52" s="24"/>
      <c r="G52" s="24"/>
      <c r="H52" s="24"/>
      <c r="I52" s="24"/>
      <c r="J52" s="24"/>
      <c r="K52" s="24"/>
      <c r="L52" s="24"/>
      <c r="M52" s="24"/>
      <c r="N52" s="24"/>
      <c r="O52" s="24"/>
      <c r="P52" s="24"/>
      <c r="Q52" s="24"/>
      <c r="R52" s="24"/>
      <c r="S52" s="24"/>
      <c r="T52" s="24"/>
      <c r="U52" s="26"/>
      <c r="V52" s="26"/>
      <c r="W52" s="26"/>
      <c r="X52" s="3"/>
      <c r="Y52" s="24"/>
      <c r="Z52" s="24"/>
      <c r="AA52" s="24"/>
      <c r="AB52" s="24"/>
      <c r="AC52" s="24"/>
      <c r="AD52" s="3"/>
      <c r="AE52" s="3"/>
      <c r="AF52" s="3"/>
    </row>
    <row r="53" spans="1:32" ht="12.75" x14ac:dyDescent="0.2">
      <c r="A53" s="33" t="s">
        <v>116</v>
      </c>
      <c r="B53" s="3"/>
      <c r="C53" s="24"/>
      <c r="D53" s="24"/>
      <c r="E53" s="24"/>
      <c r="F53" s="24"/>
      <c r="G53" s="77">
        <f t="shared" ref="G53:W53" si="46">G9/C9-1</f>
        <v>0.42320591161006105</v>
      </c>
      <c r="H53" s="77">
        <f t="shared" si="46"/>
        <v>0.40405750700366339</v>
      </c>
      <c r="I53" s="77">
        <f t="shared" si="46"/>
        <v>0.38223914861810604</v>
      </c>
      <c r="J53" s="77">
        <f t="shared" si="46"/>
        <v>0.34832303796111441</v>
      </c>
      <c r="K53" s="77">
        <f t="shared" si="46"/>
        <v>0.34289888934375767</v>
      </c>
      <c r="L53" s="77">
        <f t="shared" si="46"/>
        <v>0.32121831696193648</v>
      </c>
      <c r="M53" s="77">
        <f t="shared" si="46"/>
        <v>0.31330742866560057</v>
      </c>
      <c r="N53" s="77">
        <f t="shared" si="46"/>
        <v>0.30339680394339319</v>
      </c>
      <c r="O53" s="77">
        <f t="shared" si="46"/>
        <v>0.29632098900063952</v>
      </c>
      <c r="P53" s="77">
        <f t="shared" si="46"/>
        <v>0.2969786232147118</v>
      </c>
      <c r="Q53" s="77">
        <f t="shared" si="46"/>
        <v>0.28501879341750014</v>
      </c>
      <c r="R53" s="77">
        <f t="shared" si="46"/>
        <v>0.2729445761820164</v>
      </c>
      <c r="S53" s="77">
        <f t="shared" si="46"/>
        <v>0.25567024894988299</v>
      </c>
      <c r="T53" s="77">
        <f t="shared" si="46"/>
        <v>0.24036351538958578</v>
      </c>
      <c r="U53" s="77">
        <f t="shared" si="46"/>
        <v>0.24602065354051983</v>
      </c>
      <c r="V53" s="77">
        <f t="shared" si="46"/>
        <v>0.2461478102790946</v>
      </c>
      <c r="W53" s="77">
        <f t="shared" si="46"/>
        <v>0.15430094920229864</v>
      </c>
      <c r="X53" s="3"/>
      <c r="Y53" s="24"/>
      <c r="Z53" s="77">
        <f t="shared" ref="Z53:AC53" si="47">Z9/Y9-1</f>
        <v>0.38623154948617011</v>
      </c>
      <c r="AA53" s="77">
        <f t="shared" si="47"/>
        <v>0.31865591693220519</v>
      </c>
      <c r="AB53" s="77">
        <f t="shared" si="47"/>
        <v>0.28709741929637622</v>
      </c>
      <c r="AC53" s="77">
        <f t="shared" si="47"/>
        <v>0.2466660273661101</v>
      </c>
      <c r="AD53" s="3"/>
      <c r="AE53" s="3"/>
      <c r="AF53" s="77">
        <f>AF9/AE9-1</f>
        <v>0.22157312980005961</v>
      </c>
    </row>
    <row r="54" spans="1:32" ht="12.75" x14ac:dyDescent="0.2">
      <c r="A54" s="33" t="s">
        <v>94</v>
      </c>
      <c r="B54" s="3"/>
      <c r="C54" s="24"/>
      <c r="D54" s="24"/>
      <c r="E54" s="24"/>
      <c r="F54" s="24"/>
      <c r="G54" s="77">
        <f t="shared" ref="G54:W54" si="48">G11/C11-1</f>
        <v>1.9722707969023232</v>
      </c>
      <c r="H54" s="77">
        <f t="shared" si="48"/>
        <v>1.2986540841584158</v>
      </c>
      <c r="I54" s="77">
        <f t="shared" si="48"/>
        <v>1.4037021913706274</v>
      </c>
      <c r="J54" s="77">
        <f t="shared" si="48"/>
        <v>0.81005137368773728</v>
      </c>
      <c r="K54" s="77">
        <f t="shared" si="48"/>
        <v>1.0616910405110103</v>
      </c>
      <c r="L54" s="77">
        <f t="shared" si="48"/>
        <v>0.99047683144328169</v>
      </c>
      <c r="M54" s="77">
        <f t="shared" si="48"/>
        <v>0.8417610419026047</v>
      </c>
      <c r="N54" s="77">
        <f t="shared" si="48"/>
        <v>0.95967224443457222</v>
      </c>
      <c r="O54" s="77">
        <f t="shared" si="48"/>
        <v>0.97827150428047283</v>
      </c>
      <c r="P54" s="77">
        <f t="shared" si="48"/>
        <v>1.2710013355649101</v>
      </c>
      <c r="Q54" s="77">
        <f t="shared" si="48"/>
        <v>1.5549645662633935</v>
      </c>
      <c r="R54" s="77">
        <f t="shared" si="48"/>
        <v>1.4447369083902171</v>
      </c>
      <c r="S54" s="77">
        <f t="shared" si="48"/>
        <v>1.2550023698147421</v>
      </c>
      <c r="T54" s="77">
        <f t="shared" si="48"/>
        <v>0.87135604323616112</v>
      </c>
      <c r="U54" s="77">
        <f t="shared" si="48"/>
        <v>0.68348946769913899</v>
      </c>
      <c r="V54" s="77">
        <f t="shared" si="48"/>
        <v>0.44971846875853227</v>
      </c>
      <c r="W54" s="77">
        <f t="shared" si="48"/>
        <v>0.35355506106727219</v>
      </c>
      <c r="X54" s="3"/>
      <c r="Y54" s="24"/>
      <c r="Z54" s="77">
        <f t="shared" ref="Z54:AC54" si="49">Z11/Y11-1</f>
        <v>1.2296898970920309</v>
      </c>
      <c r="AA54" s="77">
        <f t="shared" si="49"/>
        <v>0.95332080927089846</v>
      </c>
      <c r="AB54" s="77">
        <f t="shared" si="49"/>
        <v>1.3418690434727543</v>
      </c>
      <c r="AC54" s="77">
        <f t="shared" si="49"/>
        <v>0.74319003018390895</v>
      </c>
      <c r="AD54" s="3"/>
      <c r="AE54" s="3"/>
      <c r="AF54" s="77">
        <f t="shared" ref="AF54:AF55" si="50">AF11/AE11-1</f>
        <v>0.55405748210604222</v>
      </c>
    </row>
    <row r="55" spans="1:32" ht="12.75" x14ac:dyDescent="0.2">
      <c r="A55" s="33" t="s">
        <v>122</v>
      </c>
      <c r="B55" s="3"/>
      <c r="C55" s="24"/>
      <c r="D55" s="24"/>
      <c r="E55" s="24"/>
      <c r="F55" s="24"/>
      <c r="G55" s="77">
        <f t="shared" ref="G55:W55" si="51">G12/C12-1</f>
        <v>6.3421052631578947</v>
      </c>
      <c r="H55" s="77">
        <f t="shared" si="51"/>
        <v>2.0868838763575606</v>
      </c>
      <c r="I55" s="77">
        <f t="shared" si="51"/>
        <v>0.94223912526741138</v>
      </c>
      <c r="J55" s="77">
        <f t="shared" si="51"/>
        <v>0.39121568627450976</v>
      </c>
      <c r="K55" s="77">
        <f t="shared" si="51"/>
        <v>-0.44283772092448404</v>
      </c>
      <c r="L55" s="77">
        <f t="shared" si="51"/>
        <v>-7.1808750563824963E-2</v>
      </c>
      <c r="M55" s="77">
        <f t="shared" si="51"/>
        <v>0.23473259087015053</v>
      </c>
      <c r="N55" s="77">
        <f t="shared" si="51"/>
        <v>0.35539519675273423</v>
      </c>
      <c r="O55" s="77">
        <f t="shared" si="51"/>
        <v>0.59904614019520852</v>
      </c>
      <c r="P55" s="77">
        <f t="shared" si="51"/>
        <v>0.78462435610846537</v>
      </c>
      <c r="Q55" s="77">
        <f t="shared" si="51"/>
        <v>0.74031123005253252</v>
      </c>
      <c r="R55" s="77">
        <f t="shared" si="51"/>
        <v>0.51118875301555611</v>
      </c>
      <c r="S55" s="77">
        <f t="shared" si="51"/>
        <v>0.26323090795588544</v>
      </c>
      <c r="T55" s="77">
        <f t="shared" si="51"/>
        <v>0.21228624332861346</v>
      </c>
      <c r="U55" s="77">
        <f t="shared" si="51"/>
        <v>0.23966283175760328</v>
      </c>
      <c r="V55" s="77">
        <f t="shared" si="51"/>
        <v>0.22575140372123759</v>
      </c>
      <c r="W55" s="77">
        <f t="shared" si="51"/>
        <v>0.13524050076872385</v>
      </c>
      <c r="X55" s="3"/>
      <c r="Y55" s="24"/>
      <c r="Z55" s="77">
        <f t="shared" ref="Z55:AC55" si="52">Z12/Y12-1</f>
        <v>1.7054405568785493</v>
      </c>
      <c r="AA55" s="77">
        <f t="shared" si="52"/>
        <v>-6.5271853206039676E-2</v>
      </c>
      <c r="AB55" s="77">
        <f t="shared" si="52"/>
        <v>0.65406253772787637</v>
      </c>
      <c r="AC55" s="77">
        <f t="shared" si="52"/>
        <v>0.23359560895143283</v>
      </c>
      <c r="AD55" s="3"/>
      <c r="AE55" s="3"/>
      <c r="AF55" s="77">
        <f t="shared" si="50"/>
        <v>0.20291017732164107</v>
      </c>
    </row>
    <row r="56" spans="1:32" ht="12.75" x14ac:dyDescent="0.2">
      <c r="A56" s="33" t="s">
        <v>126</v>
      </c>
      <c r="B56" s="3"/>
      <c r="C56" s="24"/>
      <c r="D56" s="24"/>
      <c r="E56" s="24"/>
      <c r="F56" s="24"/>
      <c r="G56" s="77">
        <f t="shared" ref="G56:W56" si="53">G14/C14-1</f>
        <v>0.51370346867179917</v>
      </c>
      <c r="H56" s="77">
        <f t="shared" si="53"/>
        <v>0.4145632602503766</v>
      </c>
      <c r="I56" s="77">
        <f t="shared" si="53"/>
        <v>0.32154683492480163</v>
      </c>
      <c r="J56" s="77">
        <f t="shared" si="53"/>
        <v>0.20717224062399819</v>
      </c>
      <c r="K56" s="77">
        <f t="shared" si="53"/>
        <v>0.21695683011266409</v>
      </c>
      <c r="L56" s="77">
        <f t="shared" si="53"/>
        <v>0.25761345212332931</v>
      </c>
      <c r="M56" s="77">
        <f t="shared" si="53"/>
        <v>0.33293014610411809</v>
      </c>
      <c r="N56" s="77">
        <f t="shared" si="53"/>
        <v>0.36315960674194603</v>
      </c>
      <c r="O56" s="77">
        <f t="shared" si="53"/>
        <v>0.44859106410084193</v>
      </c>
      <c r="P56" s="77">
        <f t="shared" si="53"/>
        <v>0.47766203388908535</v>
      </c>
      <c r="Q56" s="77">
        <f t="shared" si="53"/>
        <v>0.50746720122223188</v>
      </c>
      <c r="R56" s="77">
        <f t="shared" si="53"/>
        <v>0.51375814685853882</v>
      </c>
      <c r="S56" s="77">
        <f t="shared" si="53"/>
        <v>0.43487091742035267</v>
      </c>
      <c r="T56" s="77">
        <f t="shared" si="53"/>
        <v>0.44089243598899541</v>
      </c>
      <c r="U56" s="77">
        <f t="shared" si="53"/>
        <v>0.43573576024704463</v>
      </c>
      <c r="V56" s="77">
        <f t="shared" si="53"/>
        <v>0.40846065748159832</v>
      </c>
      <c r="W56" s="77">
        <f t="shared" si="53"/>
        <v>0.43961645223529455</v>
      </c>
      <c r="X56" s="3"/>
      <c r="Y56" s="24"/>
      <c r="Z56" s="77">
        <f t="shared" ref="Z56:AC56" si="54">Z14/Y14-1</f>
        <v>0.34850976783535548</v>
      </c>
      <c r="AA56" s="77">
        <f t="shared" si="54"/>
        <v>0.29585403351395567</v>
      </c>
      <c r="AB56" s="77">
        <f t="shared" si="54"/>
        <v>0.48952129679851408</v>
      </c>
      <c r="AC56" s="77">
        <f t="shared" si="54"/>
        <v>0.42912281542197395</v>
      </c>
      <c r="AD56" s="3"/>
      <c r="AE56" s="3"/>
      <c r="AF56" s="77">
        <f>AF14/AE14-1</f>
        <v>4.6032623066521339E-2</v>
      </c>
    </row>
    <row r="57" spans="1:32" ht="12.75" x14ac:dyDescent="0.2">
      <c r="A57" s="33"/>
      <c r="B57" s="3"/>
      <c r="C57" s="24"/>
      <c r="D57" s="24"/>
      <c r="E57" s="24"/>
      <c r="F57" s="24"/>
      <c r="G57" s="79"/>
      <c r="H57" s="79"/>
      <c r="I57" s="79"/>
      <c r="J57" s="79"/>
      <c r="K57" s="79"/>
      <c r="L57" s="79"/>
      <c r="M57" s="79"/>
      <c r="N57" s="79"/>
      <c r="O57" s="79"/>
      <c r="P57" s="79"/>
      <c r="Q57" s="79"/>
      <c r="R57" s="79"/>
      <c r="S57" s="79"/>
      <c r="T57" s="79"/>
      <c r="U57" s="80"/>
      <c r="V57" s="80"/>
      <c r="W57" s="80"/>
      <c r="X57" s="3"/>
      <c r="Y57" s="24"/>
      <c r="Z57" s="24"/>
      <c r="AA57" s="24"/>
      <c r="AB57" s="24"/>
      <c r="AC57" s="24"/>
      <c r="AD57" s="3"/>
      <c r="AE57" s="3"/>
      <c r="AF57" s="24"/>
    </row>
    <row r="58" spans="1:32" ht="12.75" x14ac:dyDescent="0.2">
      <c r="A58" s="33" t="s">
        <v>133</v>
      </c>
      <c r="B58" s="3"/>
      <c r="C58" s="24"/>
      <c r="D58" s="24"/>
      <c r="E58" s="24"/>
      <c r="F58" s="24"/>
      <c r="G58" s="77">
        <f t="shared" ref="G58:W58" si="55">G24/C24-1</f>
        <v>0.48401426936797476</v>
      </c>
      <c r="H58" s="77">
        <f t="shared" si="55"/>
        <v>0.64883442916915723</v>
      </c>
      <c r="I58" s="77">
        <f t="shared" si="55"/>
        <v>0.56073097290001028</v>
      </c>
      <c r="J58" s="77">
        <f t="shared" si="55"/>
        <v>0.52644990971006389</v>
      </c>
      <c r="K58" s="77">
        <f t="shared" si="55"/>
        <v>0.57321298984034841</v>
      </c>
      <c r="L58" s="77">
        <f t="shared" si="55"/>
        <v>0.39252411737457948</v>
      </c>
      <c r="M58" s="77">
        <f t="shared" si="55"/>
        <v>0.45439546549223619</v>
      </c>
      <c r="N58" s="77">
        <f t="shared" si="55"/>
        <v>0.44020417354751529</v>
      </c>
      <c r="O58" s="77">
        <f t="shared" si="55"/>
        <v>0.47130559127260985</v>
      </c>
      <c r="P58" s="77">
        <f t="shared" si="55"/>
        <v>0.52252577990541349</v>
      </c>
      <c r="Q58" s="77">
        <f t="shared" si="55"/>
        <v>0.61314816847806197</v>
      </c>
      <c r="R58" s="77">
        <f t="shared" si="55"/>
        <v>0.5846808155777008</v>
      </c>
      <c r="S58" s="77">
        <f t="shared" si="55"/>
        <v>0.55486146490574906</v>
      </c>
      <c r="T58" s="77">
        <f t="shared" si="55"/>
        <v>0.47505192897129978</v>
      </c>
      <c r="U58" s="77">
        <f t="shared" si="55"/>
        <v>0.41790109453864921</v>
      </c>
      <c r="V58" s="77">
        <f t="shared" si="55"/>
        <v>0.3867739847495355</v>
      </c>
      <c r="W58" s="77">
        <f t="shared" si="55"/>
        <v>0.35726671942815957</v>
      </c>
      <c r="X58" s="3"/>
      <c r="Y58" s="24"/>
      <c r="Z58" s="77">
        <f t="shared" ref="Z58:AC58" si="56">Z24/Y24-1</f>
        <v>0.55673323784558004</v>
      </c>
      <c r="AA58" s="77">
        <f t="shared" si="56"/>
        <v>0.45703234856033803</v>
      </c>
      <c r="AB58" s="77">
        <f t="shared" si="56"/>
        <v>0.55330713708706947</v>
      </c>
      <c r="AC58" s="77">
        <f t="shared" si="56"/>
        <v>0.44947840760911251</v>
      </c>
      <c r="AD58" s="3"/>
      <c r="AE58" s="3"/>
      <c r="AF58" s="77">
        <f>AF24/AE24-1</f>
        <v>0.40555904583459035</v>
      </c>
    </row>
    <row r="59" spans="1:32" ht="12.75" x14ac:dyDescent="0.2">
      <c r="A59" s="33"/>
      <c r="B59" s="3"/>
      <c r="C59" s="24"/>
      <c r="D59" s="24"/>
      <c r="E59" s="24"/>
      <c r="F59" s="24"/>
      <c r="G59" s="79"/>
      <c r="H59" s="79"/>
      <c r="I59" s="79"/>
      <c r="J59" s="79"/>
      <c r="K59" s="79"/>
      <c r="L59" s="79"/>
      <c r="M59" s="79"/>
      <c r="N59" s="79"/>
      <c r="O59" s="79"/>
      <c r="P59" s="79"/>
      <c r="Q59" s="79"/>
      <c r="R59" s="79"/>
      <c r="S59" s="79"/>
      <c r="T59" s="79"/>
      <c r="U59" s="80"/>
      <c r="V59" s="80"/>
      <c r="W59" s="80"/>
      <c r="X59" s="3"/>
      <c r="Y59" s="24"/>
      <c r="Z59" s="24"/>
      <c r="AA59" s="24"/>
      <c r="AB59" s="24"/>
      <c r="AC59" s="24"/>
      <c r="AD59" s="3"/>
      <c r="AE59" s="3"/>
      <c r="AF59" s="3"/>
    </row>
  </sheetData>
  <mergeCells count="7">
    <mergeCell ref="Y4:AC4"/>
    <mergeCell ref="AE4:AF4"/>
    <mergeCell ref="C4:F4"/>
    <mergeCell ref="G4:J4"/>
    <mergeCell ref="K4:N4"/>
    <mergeCell ref="O4:R4"/>
    <mergeCell ref="S4:V4"/>
  </mergeCell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108"/>
  <sheetViews>
    <sheetView showGridLines="0" workbookViewId="0">
      <pane xSplit="1" ySplit="7" topLeftCell="B8" activePane="bottomRight" state="frozen"/>
      <selection pane="topRight" activeCell="B1" sqref="B1"/>
      <selection pane="bottomLeft" activeCell="A8" sqref="A8"/>
      <selection pane="bottomRight" activeCell="B8" sqref="B8"/>
    </sheetView>
  </sheetViews>
  <sheetFormatPr defaultColWidth="14.42578125" defaultRowHeight="15.75" customHeight="1" outlineLevelRow="1" outlineLevelCol="1" x14ac:dyDescent="0.2"/>
  <cols>
    <col min="1" max="1" width="51.7109375" customWidth="1"/>
    <col min="2" max="2" width="4.7109375" customWidth="1" collapsed="1"/>
    <col min="3" max="10" width="11.7109375" hidden="1" customWidth="1" outlineLevel="1"/>
    <col min="11" max="23" width="11.7109375" customWidth="1"/>
    <col min="24" max="24" width="7.5703125" customWidth="1"/>
    <col min="25" max="29" width="11.7109375" customWidth="1"/>
    <col min="30" max="30" width="7.5703125" customWidth="1"/>
    <col min="31" max="32" width="11.7109375" customWidth="1"/>
  </cols>
  <sheetData>
    <row r="1" spans="1:32" ht="12.75" x14ac:dyDescent="0.2">
      <c r="A1" s="1"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2.75" x14ac:dyDescent="0.2">
      <c r="A2" s="8" t="s">
        <v>8</v>
      </c>
      <c r="B2" s="3"/>
      <c r="X2" s="10"/>
      <c r="Y2" s="3"/>
      <c r="Z2" s="3"/>
      <c r="AA2" s="3"/>
      <c r="AB2" s="3"/>
      <c r="AC2" s="3"/>
      <c r="AD2" s="10"/>
      <c r="AE2" s="3"/>
      <c r="AF2" s="3"/>
    </row>
    <row r="3" spans="1:32" ht="12.75" x14ac:dyDescent="0.2">
      <c r="A3" s="8" t="s">
        <v>9</v>
      </c>
      <c r="B3" s="3"/>
      <c r="W3" s="11" t="s">
        <v>11</v>
      </c>
      <c r="X3" s="10"/>
      <c r="Y3" s="3"/>
      <c r="Z3" s="3"/>
      <c r="AA3" s="3"/>
      <c r="AB3" s="3"/>
      <c r="AC3" s="3"/>
      <c r="AD3" s="10"/>
      <c r="AE3" s="3"/>
      <c r="AF3" s="3"/>
    </row>
    <row r="4" spans="1:32" ht="12.75" collapsed="1" x14ac:dyDescent="0.2">
      <c r="A4" s="8" t="s">
        <v>12</v>
      </c>
      <c r="B4" s="3"/>
      <c r="C4" s="110" t="s">
        <v>13</v>
      </c>
      <c r="D4" s="111"/>
      <c r="E4" s="111"/>
      <c r="F4" s="111"/>
      <c r="G4" s="110" t="s">
        <v>13</v>
      </c>
      <c r="H4" s="111"/>
      <c r="I4" s="111"/>
      <c r="J4" s="111"/>
      <c r="K4" s="110" t="s">
        <v>13</v>
      </c>
      <c r="L4" s="111"/>
      <c r="M4" s="111"/>
      <c r="N4" s="111"/>
      <c r="O4" s="110" t="s">
        <v>13</v>
      </c>
      <c r="P4" s="111"/>
      <c r="Q4" s="111"/>
      <c r="R4" s="111"/>
      <c r="S4" s="110" t="s">
        <v>13</v>
      </c>
      <c r="T4" s="111"/>
      <c r="U4" s="111"/>
      <c r="V4" s="111"/>
      <c r="W4" s="17" t="s">
        <v>17</v>
      </c>
      <c r="X4" s="3"/>
      <c r="Y4" s="110" t="s">
        <v>14</v>
      </c>
      <c r="Z4" s="111"/>
      <c r="AA4" s="111"/>
      <c r="AB4" s="111"/>
      <c r="AC4" s="111"/>
      <c r="AD4" s="3"/>
      <c r="AE4" s="110" t="s">
        <v>15</v>
      </c>
      <c r="AF4" s="111"/>
    </row>
    <row r="5" spans="1:32" ht="12.75" hidden="1" outlineLevel="1" x14ac:dyDescent="0.2">
      <c r="A5" s="14"/>
      <c r="B5" s="14"/>
      <c r="C5" s="15">
        <v>42094</v>
      </c>
      <c r="D5" s="18">
        <f t="shared" ref="D5:U5" si="0">EOMONTH(C5,3)</f>
        <v>42185</v>
      </c>
      <c r="E5" s="18">
        <f t="shared" si="0"/>
        <v>42277</v>
      </c>
      <c r="F5" s="18">
        <f t="shared" si="0"/>
        <v>42369</v>
      </c>
      <c r="G5" s="18">
        <f t="shared" si="0"/>
        <v>42460</v>
      </c>
      <c r="H5" s="18">
        <f t="shared" si="0"/>
        <v>42551</v>
      </c>
      <c r="I5" s="18">
        <f t="shared" si="0"/>
        <v>42643</v>
      </c>
      <c r="J5" s="18">
        <f t="shared" si="0"/>
        <v>42735</v>
      </c>
      <c r="K5" s="18">
        <f t="shared" si="0"/>
        <v>42825</v>
      </c>
      <c r="L5" s="18">
        <f t="shared" si="0"/>
        <v>42916</v>
      </c>
      <c r="M5" s="18">
        <f t="shared" si="0"/>
        <v>43008</v>
      </c>
      <c r="N5" s="18">
        <f t="shared" si="0"/>
        <v>43100</v>
      </c>
      <c r="O5" s="18">
        <f t="shared" si="0"/>
        <v>43190</v>
      </c>
      <c r="P5" s="18">
        <f t="shared" si="0"/>
        <v>43281</v>
      </c>
      <c r="Q5" s="18">
        <f t="shared" si="0"/>
        <v>43373</v>
      </c>
      <c r="R5" s="18">
        <f t="shared" si="0"/>
        <v>43465</v>
      </c>
      <c r="S5" s="18">
        <f t="shared" si="0"/>
        <v>43555</v>
      </c>
      <c r="T5" s="18">
        <f t="shared" si="0"/>
        <v>43646</v>
      </c>
      <c r="U5" s="18">
        <f t="shared" si="0"/>
        <v>43738</v>
      </c>
      <c r="V5" s="18">
        <v>43830</v>
      </c>
      <c r="W5" s="18">
        <v>43921</v>
      </c>
      <c r="X5" s="14"/>
      <c r="Y5" s="1"/>
      <c r="Z5" s="1"/>
      <c r="AA5" s="1"/>
      <c r="AB5" s="1"/>
      <c r="AC5" s="1"/>
      <c r="AD5" s="14"/>
      <c r="AE5" s="18">
        <f>EOMONTH(AF5,-12)</f>
        <v>43555</v>
      </c>
      <c r="AF5" s="19">
        <v>43921</v>
      </c>
    </row>
    <row r="6" spans="1:32" ht="12.75" x14ac:dyDescent="0.2">
      <c r="A6" s="14"/>
      <c r="B6" s="14"/>
      <c r="C6" s="20" t="s">
        <v>18</v>
      </c>
      <c r="D6" s="20" t="s">
        <v>19</v>
      </c>
      <c r="E6" s="20" t="s">
        <v>20</v>
      </c>
      <c r="F6" s="20" t="s">
        <v>21</v>
      </c>
      <c r="G6" s="20" t="s">
        <v>18</v>
      </c>
      <c r="H6" s="20" t="s">
        <v>19</v>
      </c>
      <c r="I6" s="20" t="s">
        <v>20</v>
      </c>
      <c r="J6" s="20" t="s">
        <v>21</v>
      </c>
      <c r="K6" s="20" t="s">
        <v>18</v>
      </c>
      <c r="L6" s="20" t="s">
        <v>19</v>
      </c>
      <c r="M6" s="20" t="s">
        <v>20</v>
      </c>
      <c r="N6" s="20" t="s">
        <v>21</v>
      </c>
      <c r="O6" s="20" t="s">
        <v>18</v>
      </c>
      <c r="P6" s="20" t="s">
        <v>19</v>
      </c>
      <c r="Q6" s="20" t="s">
        <v>20</v>
      </c>
      <c r="R6" s="20" t="s">
        <v>21</v>
      </c>
      <c r="S6" s="20" t="s">
        <v>18</v>
      </c>
      <c r="T6" s="20" t="s">
        <v>19</v>
      </c>
      <c r="U6" s="20" t="s">
        <v>20</v>
      </c>
      <c r="V6" s="20" t="s">
        <v>21</v>
      </c>
      <c r="W6" s="20" t="s">
        <v>18</v>
      </c>
      <c r="X6" s="14"/>
      <c r="Y6" s="1" t="s">
        <v>21</v>
      </c>
      <c r="Z6" s="1" t="s">
        <v>21</v>
      </c>
      <c r="AA6" s="1" t="s">
        <v>21</v>
      </c>
      <c r="AB6" s="1" t="s">
        <v>21</v>
      </c>
      <c r="AC6" s="1" t="s">
        <v>21</v>
      </c>
      <c r="AD6" s="14"/>
      <c r="AE6" s="1" t="s">
        <v>18</v>
      </c>
      <c r="AF6" s="1" t="s">
        <v>18</v>
      </c>
    </row>
    <row r="7" spans="1:32" ht="12.75" x14ac:dyDescent="0.2">
      <c r="A7" s="21"/>
      <c r="B7" s="14"/>
      <c r="C7" s="1">
        <v>2015</v>
      </c>
      <c r="D7" s="1">
        <v>2015</v>
      </c>
      <c r="E7" s="1">
        <v>2015</v>
      </c>
      <c r="F7" s="1">
        <v>2015</v>
      </c>
      <c r="G7" s="1">
        <v>2016</v>
      </c>
      <c r="H7" s="1">
        <v>2016</v>
      </c>
      <c r="I7" s="1">
        <v>2016</v>
      </c>
      <c r="J7" s="1">
        <v>2016</v>
      </c>
      <c r="K7" s="1">
        <v>2017</v>
      </c>
      <c r="L7" s="1">
        <v>2017</v>
      </c>
      <c r="M7" s="1">
        <v>2017</v>
      </c>
      <c r="N7" s="1">
        <v>2017</v>
      </c>
      <c r="O7" s="1">
        <v>2018</v>
      </c>
      <c r="P7" s="1">
        <v>2018</v>
      </c>
      <c r="Q7" s="1">
        <v>2018</v>
      </c>
      <c r="R7" s="1">
        <v>2018</v>
      </c>
      <c r="S7" s="1">
        <v>2019</v>
      </c>
      <c r="T7" s="1">
        <v>2019</v>
      </c>
      <c r="U7" s="1">
        <v>2019</v>
      </c>
      <c r="V7" s="1">
        <v>2019</v>
      </c>
      <c r="W7" s="1">
        <v>2020</v>
      </c>
      <c r="X7" s="14"/>
      <c r="Y7" s="1">
        <v>2015</v>
      </c>
      <c r="Z7" s="1">
        <v>2016</v>
      </c>
      <c r="AA7" s="1">
        <v>2017</v>
      </c>
      <c r="AB7" s="1">
        <v>2018</v>
      </c>
      <c r="AC7" s="1">
        <v>2019</v>
      </c>
      <c r="AD7" s="14"/>
      <c r="AE7" s="1">
        <v>2019</v>
      </c>
      <c r="AF7" s="1">
        <v>2020</v>
      </c>
    </row>
    <row r="8" spans="1:32" ht="12.75" collapsed="1" x14ac:dyDescent="0.2">
      <c r="A8" s="21" t="s">
        <v>23</v>
      </c>
      <c r="B8" s="3"/>
      <c r="C8" s="22">
        <f>'GAAP IS'!C14</f>
        <v>250557</v>
      </c>
      <c r="D8" s="22">
        <f>'GAAP IS'!D14</f>
        <v>310013</v>
      </c>
      <c r="E8" s="22">
        <f>'GAAP IS'!E14</f>
        <v>332188</v>
      </c>
      <c r="F8" s="22">
        <f>'GAAP IS'!F14</f>
        <v>374360</v>
      </c>
      <c r="G8" s="22">
        <f>'GAAP IS'!G14</f>
        <v>379269</v>
      </c>
      <c r="H8" s="22">
        <f>'GAAP IS'!H14</f>
        <v>438533</v>
      </c>
      <c r="I8" s="22">
        <f>'GAAP IS'!I14</f>
        <v>439002</v>
      </c>
      <c r="J8" s="22">
        <f>'GAAP IS'!J14</f>
        <v>451917</v>
      </c>
      <c r="K8" s="22">
        <f>'GAAP IS'!K14</f>
        <v>461554</v>
      </c>
      <c r="L8" s="22">
        <f>'GAAP IS'!L14</f>
        <v>551505</v>
      </c>
      <c r="M8" s="22">
        <f>'GAAP IS'!M14</f>
        <v>585159</v>
      </c>
      <c r="N8" s="22">
        <f>'GAAP IS'!N14</f>
        <v>616035</v>
      </c>
      <c r="O8" s="22">
        <f>'GAAP IS'!O14</f>
        <v>668603</v>
      </c>
      <c r="P8" s="22">
        <f>'GAAP IS'!P14</f>
        <v>814938</v>
      </c>
      <c r="Q8" s="22">
        <f>'GAAP IS'!Q14</f>
        <v>882108</v>
      </c>
      <c r="R8" s="22">
        <f>'GAAP IS'!R14</f>
        <v>932528</v>
      </c>
      <c r="S8" s="22">
        <f>'GAAP IS'!S14</f>
        <v>959359</v>
      </c>
      <c r="T8" s="22">
        <f>'GAAP IS'!T14</f>
        <v>1174238</v>
      </c>
      <c r="U8" s="22">
        <f>'GAAP IS'!U14</f>
        <v>1266474</v>
      </c>
      <c r="V8" s="22">
        <f>'GAAP IS'!V14</f>
        <v>1313429</v>
      </c>
      <c r="W8" s="22">
        <f>'GAAP IS'!W14</f>
        <v>1381109</v>
      </c>
      <c r="X8" s="3"/>
      <c r="Y8" s="22">
        <f t="shared" ref="Y8:AC8" si="1">SUMIFS($C8:$V8,$C$7:$V$7,Y$7)</f>
        <v>1267118</v>
      </c>
      <c r="Z8" s="22">
        <f t="shared" si="1"/>
        <v>1708721</v>
      </c>
      <c r="AA8" s="22">
        <f t="shared" si="1"/>
        <v>2214253</v>
      </c>
      <c r="AB8" s="22">
        <f t="shared" si="1"/>
        <v>3298177</v>
      </c>
      <c r="AC8" s="22">
        <f t="shared" si="1"/>
        <v>4713500</v>
      </c>
      <c r="AD8" s="3"/>
      <c r="AE8" s="22">
        <f t="shared" ref="AE8:AF8" si="2">SUMIFS($C8:$W8,$C$5:$W$5,"&lt;="&amp;AE$5,$C$5:$W$5,"&gt;"&amp;EOMONTH(AE$5,-12))</f>
        <v>3588933</v>
      </c>
      <c r="AF8" s="22">
        <f t="shared" si="2"/>
        <v>5135250</v>
      </c>
    </row>
    <row r="9" spans="1:32" ht="12.75" hidden="1" outlineLevel="1" x14ac:dyDescent="0.2">
      <c r="A9" s="2" t="s">
        <v>27</v>
      </c>
      <c r="B9" s="3"/>
      <c r="C9" s="24">
        <v>29237</v>
      </c>
      <c r="D9" s="24">
        <v>33630</v>
      </c>
      <c r="E9" s="24">
        <v>32332</v>
      </c>
      <c r="F9" s="24">
        <v>47084</v>
      </c>
      <c r="G9" s="24">
        <v>38838</v>
      </c>
      <c r="H9" s="24">
        <v>32867</v>
      </c>
      <c r="I9" s="24">
        <v>7164</v>
      </c>
      <c r="J9" s="24">
        <v>34</v>
      </c>
      <c r="K9" s="24"/>
      <c r="L9" s="24"/>
      <c r="M9" s="24"/>
      <c r="N9" s="24"/>
      <c r="O9" s="24"/>
      <c r="P9" s="24"/>
      <c r="Q9" s="24"/>
      <c r="R9" s="24"/>
      <c r="S9" s="24"/>
      <c r="T9" s="24"/>
      <c r="U9" s="24"/>
      <c r="V9" s="24"/>
      <c r="W9" s="24"/>
      <c r="X9" s="3"/>
      <c r="Y9" s="26">
        <f t="shared" ref="Y9:AB9" si="3">SUMIFS($C9:$V9,$C$7:$V$7,Y$7)</f>
        <v>142283</v>
      </c>
      <c r="Z9" s="26">
        <f t="shared" si="3"/>
        <v>78903</v>
      </c>
      <c r="AA9" s="26">
        <f t="shared" si="3"/>
        <v>0</v>
      </c>
      <c r="AB9" s="26">
        <f t="shared" si="3"/>
        <v>0</v>
      </c>
      <c r="AC9" s="26"/>
      <c r="AD9" s="3"/>
      <c r="AE9" s="26"/>
      <c r="AF9" s="26"/>
    </row>
    <row r="10" spans="1:32" ht="12.75" x14ac:dyDescent="0.2">
      <c r="A10" s="2" t="s">
        <v>30</v>
      </c>
      <c r="B10" s="3"/>
      <c r="C10" s="24">
        <v>132107</v>
      </c>
      <c r="D10" s="24">
        <v>165823</v>
      </c>
      <c r="E10" s="24">
        <v>182007</v>
      </c>
      <c r="F10" s="24">
        <v>192730</v>
      </c>
      <c r="G10" s="24">
        <v>194276</v>
      </c>
      <c r="H10" s="24">
        <v>234857</v>
      </c>
      <c r="I10" s="24">
        <v>254061</v>
      </c>
      <c r="J10" s="24">
        <v>260006</v>
      </c>
      <c r="K10" s="24">
        <v>257778</v>
      </c>
      <c r="L10" s="24">
        <v>311092</v>
      </c>
      <c r="M10" s="24">
        <v>328043</v>
      </c>
      <c r="N10" s="24">
        <v>333377</v>
      </c>
      <c r="O10" s="24">
        <v>327911</v>
      </c>
      <c r="P10" s="24">
        <v>395349</v>
      </c>
      <c r="Q10" s="24">
        <v>414456</v>
      </c>
      <c r="R10" s="24">
        <v>420846</v>
      </c>
      <c r="S10" s="24">
        <v>409069</v>
      </c>
      <c r="T10" s="24">
        <v>490349</v>
      </c>
      <c r="U10" s="24">
        <v>519312</v>
      </c>
      <c r="V10" s="24"/>
      <c r="W10" s="24"/>
      <c r="X10" s="3"/>
      <c r="Y10" s="26">
        <f t="shared" ref="Y10:AB10" si="4">SUMIFS($C10:$V10,$C$7:$V$7,Y$7)</f>
        <v>672667</v>
      </c>
      <c r="Z10" s="26">
        <f t="shared" si="4"/>
        <v>943200</v>
      </c>
      <c r="AA10" s="26">
        <f t="shared" si="4"/>
        <v>1230290</v>
      </c>
      <c r="AB10" s="26">
        <f t="shared" si="4"/>
        <v>1558562</v>
      </c>
      <c r="AC10" s="26"/>
      <c r="AD10" s="3"/>
      <c r="AE10" s="26">
        <f t="shared" ref="AE10:AE13" si="5">SUMIFS($C10:$W10,$C$5:$W$5,"&lt;="&amp;AE$5,$C$5:$W$5,"&gt;"&amp;EOMONTH(AE$5,-12))</f>
        <v>1639720</v>
      </c>
      <c r="AF10" s="26"/>
    </row>
    <row r="11" spans="1:32" ht="12.75" x14ac:dyDescent="0.2">
      <c r="A11" s="2" t="s">
        <v>31</v>
      </c>
      <c r="B11" s="3"/>
      <c r="C11" s="24"/>
      <c r="D11" s="24"/>
      <c r="E11" s="24"/>
      <c r="F11" s="24"/>
      <c r="G11" s="24"/>
      <c r="H11" s="24"/>
      <c r="I11" s="24"/>
      <c r="J11" s="24"/>
      <c r="K11" s="24"/>
      <c r="L11" s="24"/>
      <c r="M11" s="24"/>
      <c r="N11" s="24"/>
      <c r="O11" s="24">
        <v>33872</v>
      </c>
      <c r="P11" s="24">
        <v>36596</v>
      </c>
      <c r="Q11" s="24">
        <v>42408</v>
      </c>
      <c r="R11" s="24">
        <v>51951</v>
      </c>
      <c r="S11" s="24">
        <v>64696</v>
      </c>
      <c r="T11" s="24">
        <v>122938</v>
      </c>
      <c r="U11" s="24">
        <v>146167</v>
      </c>
      <c r="V11" s="24"/>
      <c r="W11" s="24"/>
      <c r="X11" s="3"/>
      <c r="Y11" s="26"/>
      <c r="Z11" s="26"/>
      <c r="AA11" s="26"/>
      <c r="AB11" s="26">
        <f>SUMIFS($C11:$V11,$C$7:$V$7,AB$7)</f>
        <v>164827</v>
      </c>
      <c r="AC11" s="26"/>
      <c r="AD11" s="3"/>
      <c r="AE11" s="26">
        <f t="shared" si="5"/>
        <v>195651</v>
      </c>
      <c r="AF11" s="26"/>
    </row>
    <row r="12" spans="1:32" ht="12.75" x14ac:dyDescent="0.2">
      <c r="A12" s="2" t="s">
        <v>32</v>
      </c>
      <c r="B12" s="3"/>
      <c r="C12" s="24"/>
      <c r="D12" s="24"/>
      <c r="E12" s="24"/>
      <c r="F12" s="24"/>
      <c r="G12" s="24"/>
      <c r="H12" s="24"/>
      <c r="I12" s="24"/>
      <c r="J12" s="24"/>
      <c r="K12" s="24"/>
      <c r="L12" s="24"/>
      <c r="M12" s="24"/>
      <c r="N12" s="24"/>
      <c r="O12" s="24"/>
      <c r="P12" s="24">
        <v>2440</v>
      </c>
      <c r="Q12" s="24">
        <v>5892</v>
      </c>
      <c r="R12" s="24">
        <v>4521</v>
      </c>
      <c r="S12" s="24">
        <v>3456</v>
      </c>
      <c r="T12" s="24">
        <v>1849</v>
      </c>
      <c r="U12" s="24">
        <v>1224</v>
      </c>
      <c r="V12" s="24"/>
      <c r="W12" s="24"/>
      <c r="X12" s="3"/>
      <c r="Y12" s="26"/>
      <c r="Z12" s="26"/>
      <c r="AA12" s="26"/>
      <c r="AB12" s="26">
        <f>SUMIFS($C12:$U12,$C$7:$U$7,AB$7)</f>
        <v>12853</v>
      </c>
      <c r="AC12" s="26"/>
      <c r="AD12" s="3"/>
      <c r="AE12" s="26">
        <f t="shared" si="5"/>
        <v>16309</v>
      </c>
      <c r="AF12" s="26"/>
    </row>
    <row r="13" spans="1:32" ht="12.75" x14ac:dyDescent="0.2">
      <c r="A13" s="27" t="s">
        <v>33</v>
      </c>
      <c r="B13" s="28"/>
      <c r="C13" s="29">
        <f t="shared" ref="C13:J13" si="6">C8-C9-C10-C11+C12</f>
        <v>89213</v>
      </c>
      <c r="D13" s="29">
        <f t="shared" si="6"/>
        <v>110560</v>
      </c>
      <c r="E13" s="29">
        <f t="shared" si="6"/>
        <v>117849</v>
      </c>
      <c r="F13" s="29">
        <f t="shared" si="6"/>
        <v>134546</v>
      </c>
      <c r="G13" s="29">
        <f t="shared" si="6"/>
        <v>146155</v>
      </c>
      <c r="H13" s="29">
        <f t="shared" si="6"/>
        <v>170809</v>
      </c>
      <c r="I13" s="29">
        <f t="shared" si="6"/>
        <v>177777</v>
      </c>
      <c r="J13" s="29">
        <f t="shared" si="6"/>
        <v>191877</v>
      </c>
      <c r="K13" s="29">
        <f t="shared" ref="K13:U13" si="7">K8-K10-K11+K12</f>
        <v>203776</v>
      </c>
      <c r="L13" s="29">
        <f t="shared" si="7"/>
        <v>240413</v>
      </c>
      <c r="M13" s="29">
        <f t="shared" si="7"/>
        <v>257116</v>
      </c>
      <c r="N13" s="29">
        <f t="shared" si="7"/>
        <v>282658</v>
      </c>
      <c r="O13" s="29">
        <f t="shared" si="7"/>
        <v>306820</v>
      </c>
      <c r="P13" s="29">
        <f t="shared" si="7"/>
        <v>385433</v>
      </c>
      <c r="Q13" s="29">
        <f t="shared" si="7"/>
        <v>431136</v>
      </c>
      <c r="R13" s="29">
        <f t="shared" si="7"/>
        <v>464252</v>
      </c>
      <c r="S13" s="29">
        <f t="shared" si="7"/>
        <v>489050</v>
      </c>
      <c r="T13" s="29">
        <f t="shared" si="7"/>
        <v>562800</v>
      </c>
      <c r="U13" s="29">
        <f t="shared" si="7"/>
        <v>602219</v>
      </c>
      <c r="V13" s="29"/>
      <c r="W13" s="29"/>
      <c r="X13" s="29"/>
      <c r="Y13" s="29">
        <f t="shared" ref="Y13:AB13" si="8">SUMIFS($C13:$V13,$C$7:$V$7,Y$7)</f>
        <v>452168</v>
      </c>
      <c r="Z13" s="29">
        <f t="shared" si="8"/>
        <v>686618</v>
      </c>
      <c r="AA13" s="29">
        <f t="shared" si="8"/>
        <v>983963</v>
      </c>
      <c r="AB13" s="29">
        <f t="shared" si="8"/>
        <v>1587641</v>
      </c>
      <c r="AC13" s="29"/>
      <c r="AD13" s="29"/>
      <c r="AE13" s="29">
        <f t="shared" si="5"/>
        <v>1769871</v>
      </c>
      <c r="AF13" s="29"/>
    </row>
    <row r="14" spans="1:32" ht="12.75" x14ac:dyDescent="0.2">
      <c r="A14" s="21"/>
      <c r="B14" s="3"/>
      <c r="C14" s="30"/>
      <c r="D14" s="30"/>
      <c r="E14" s="30"/>
      <c r="F14" s="30"/>
      <c r="G14" s="30"/>
      <c r="H14" s="30"/>
      <c r="I14" s="30"/>
      <c r="J14" s="30"/>
      <c r="K14" s="30"/>
      <c r="L14" s="30"/>
      <c r="M14" s="30"/>
      <c r="N14" s="30"/>
      <c r="O14" s="30"/>
      <c r="P14" s="30"/>
      <c r="Q14" s="30"/>
      <c r="R14" s="30"/>
      <c r="S14" s="30"/>
      <c r="T14" s="31"/>
      <c r="U14" s="31"/>
      <c r="V14" s="31"/>
      <c r="W14" s="31"/>
      <c r="X14" s="3"/>
      <c r="Y14" s="31"/>
      <c r="Z14" s="31"/>
      <c r="AA14" s="31"/>
      <c r="AB14" s="31"/>
      <c r="AC14" s="31"/>
      <c r="AD14" s="3"/>
      <c r="AE14" s="31"/>
      <c r="AF14" s="31"/>
    </row>
    <row r="15" spans="1:32" ht="12.75" x14ac:dyDescent="0.2">
      <c r="A15" s="2" t="s">
        <v>34</v>
      </c>
      <c r="B15" s="3"/>
      <c r="C15" s="30"/>
      <c r="D15" s="30"/>
      <c r="E15" s="30"/>
      <c r="F15" s="30"/>
      <c r="G15" s="30"/>
      <c r="H15" s="30"/>
      <c r="I15" s="30"/>
      <c r="J15" s="30"/>
      <c r="K15" s="30"/>
      <c r="L15" s="30"/>
      <c r="M15" s="30"/>
      <c r="N15" s="30"/>
      <c r="O15" s="30"/>
      <c r="P15" s="32">
        <v>12540</v>
      </c>
      <c r="Q15" s="32">
        <v>25027</v>
      </c>
      <c r="R15" s="32">
        <v>26152</v>
      </c>
      <c r="S15" s="32">
        <v>28000</v>
      </c>
      <c r="T15" s="31"/>
      <c r="U15" s="31"/>
      <c r="V15" s="31"/>
      <c r="W15" s="31"/>
      <c r="X15" s="3"/>
      <c r="Y15" s="31"/>
      <c r="Z15" s="31"/>
      <c r="AA15" s="31"/>
      <c r="AB15" s="31"/>
      <c r="AC15" s="31"/>
      <c r="AD15" s="3"/>
      <c r="AE15" s="31"/>
      <c r="AF15" s="31"/>
    </row>
    <row r="16" spans="1:32" ht="12.75" x14ac:dyDescent="0.2">
      <c r="A16" s="2" t="s">
        <v>32</v>
      </c>
      <c r="B16" s="3"/>
      <c r="C16" s="30"/>
      <c r="D16" s="30"/>
      <c r="E16" s="30"/>
      <c r="F16" s="30"/>
      <c r="G16" s="30"/>
      <c r="H16" s="30"/>
      <c r="I16" s="30"/>
      <c r="J16" s="30"/>
      <c r="K16" s="30"/>
      <c r="L16" s="30"/>
      <c r="M16" s="30"/>
      <c r="P16" s="34">
        <f t="shared" ref="P16:S16" si="9">P12</f>
        <v>2440</v>
      </c>
      <c r="Q16" s="34">
        <f t="shared" si="9"/>
        <v>5892</v>
      </c>
      <c r="R16" s="34">
        <f t="shared" si="9"/>
        <v>4521</v>
      </c>
      <c r="S16" s="34">
        <f t="shared" si="9"/>
        <v>3456</v>
      </c>
      <c r="T16" s="30"/>
      <c r="U16" s="30"/>
      <c r="V16" s="30"/>
      <c r="W16" s="30"/>
      <c r="X16" s="3"/>
      <c r="Y16" s="31"/>
      <c r="Z16" s="31"/>
      <c r="AA16" s="31"/>
      <c r="AB16" s="31"/>
      <c r="AC16" s="31"/>
      <c r="AD16" s="3"/>
      <c r="AE16" s="31"/>
      <c r="AF16" s="31"/>
    </row>
    <row r="17" spans="1:32" ht="12.75" x14ac:dyDescent="0.2">
      <c r="A17" s="27" t="s">
        <v>36</v>
      </c>
      <c r="B17" s="28"/>
      <c r="C17" s="35"/>
      <c r="D17" s="35"/>
      <c r="E17" s="35"/>
      <c r="F17" s="35"/>
      <c r="G17" s="35"/>
      <c r="H17" s="35"/>
      <c r="I17" s="35"/>
      <c r="J17" s="35"/>
      <c r="K17" s="35"/>
      <c r="L17" s="35"/>
      <c r="M17" s="35"/>
      <c r="N17" s="36"/>
      <c r="O17" s="36"/>
      <c r="P17" s="35">
        <f>1077490-SUM(O13,Q17)</f>
        <v>370453</v>
      </c>
      <c r="Q17" s="35">
        <f t="shared" ref="Q17:S17" si="10">Q13-SUM(Q15:Q16)</f>
        <v>400217</v>
      </c>
      <c r="R17" s="35">
        <f t="shared" si="10"/>
        <v>433579</v>
      </c>
      <c r="S17" s="35">
        <f t="shared" si="10"/>
        <v>457594</v>
      </c>
      <c r="T17" s="35"/>
      <c r="U17" s="35"/>
      <c r="V17" s="35"/>
      <c r="W17" s="35"/>
      <c r="X17" s="28"/>
      <c r="Y17" s="38"/>
      <c r="Z17" s="38"/>
      <c r="AA17" s="38"/>
      <c r="AB17" s="38"/>
      <c r="AC17" s="38"/>
      <c r="AD17" s="28"/>
      <c r="AE17" s="38"/>
      <c r="AF17" s="38"/>
    </row>
    <row r="18" spans="1:32" ht="12.75" x14ac:dyDescent="0.2">
      <c r="A18" s="21"/>
      <c r="B18" s="3"/>
      <c r="C18" s="30"/>
      <c r="D18" s="30"/>
      <c r="E18" s="30"/>
      <c r="F18" s="30"/>
      <c r="G18" s="30"/>
      <c r="H18" s="30"/>
      <c r="I18" s="30"/>
      <c r="J18" s="30"/>
      <c r="K18" s="30"/>
      <c r="L18" s="30"/>
      <c r="M18" s="30"/>
      <c r="N18" s="30"/>
      <c r="O18" s="30"/>
      <c r="P18" s="40"/>
      <c r="Q18" s="30"/>
      <c r="R18" s="30"/>
      <c r="S18" s="30"/>
      <c r="T18" s="31"/>
      <c r="U18" s="31"/>
      <c r="V18" s="31"/>
      <c r="W18" s="31"/>
      <c r="X18" s="3"/>
      <c r="Y18" s="31"/>
      <c r="Z18" s="31"/>
      <c r="AA18" s="31"/>
      <c r="AB18" s="31"/>
      <c r="AC18" s="31"/>
      <c r="AD18" s="3"/>
      <c r="AE18" s="31"/>
      <c r="AF18" s="31"/>
    </row>
    <row r="19" spans="1:32" ht="12.75" x14ac:dyDescent="0.2">
      <c r="A19" s="9" t="s">
        <v>37</v>
      </c>
      <c r="B19" s="3"/>
      <c r="C19" s="22">
        <f>'GAAP IS'!C24</f>
        <v>74285</v>
      </c>
      <c r="D19" s="22">
        <f>'GAAP IS'!D24</f>
        <v>90342</v>
      </c>
      <c r="E19" s="22">
        <f>'GAAP IS'!E24</f>
        <v>96310</v>
      </c>
      <c r="F19" s="22">
        <f>'GAAP IS'!F24</f>
        <v>109093</v>
      </c>
      <c r="G19" s="22">
        <f>'GAAP IS'!G24</f>
        <v>110240</v>
      </c>
      <c r="H19" s="22">
        <f>'GAAP IS'!H24</f>
        <v>148959</v>
      </c>
      <c r="I19" s="22">
        <f>'GAAP IS'!I24</f>
        <v>150314</v>
      </c>
      <c r="J19" s="22">
        <f>'GAAP IS'!J24</f>
        <v>166525</v>
      </c>
      <c r="K19" s="22">
        <f>'GAAP IS'!K24</f>
        <v>173431</v>
      </c>
      <c r="L19" s="22">
        <f>'GAAP IS'!L24</f>
        <v>207429</v>
      </c>
      <c r="M19" s="22">
        <f>'GAAP IS'!M24</f>
        <v>218616</v>
      </c>
      <c r="N19" s="22">
        <f>'GAAP IS'!N24</f>
        <v>239830</v>
      </c>
      <c r="O19" s="22">
        <f>'GAAP IS'!O24</f>
        <v>255170</v>
      </c>
      <c r="P19" s="22">
        <f>'GAAP IS'!P24</f>
        <v>315816</v>
      </c>
      <c r="Q19" s="22">
        <f>'GAAP IS'!Q24</f>
        <v>352660</v>
      </c>
      <c r="R19" s="22">
        <f>'GAAP IS'!R24</f>
        <v>380054</v>
      </c>
      <c r="S19" s="22">
        <f>'GAAP IS'!S24</f>
        <v>396754</v>
      </c>
      <c r="T19" s="22">
        <f>'GAAP IS'!T24</f>
        <v>465845</v>
      </c>
      <c r="U19" s="22">
        <f>'GAAP IS'!U24</f>
        <v>500037</v>
      </c>
      <c r="V19" s="22">
        <f>'GAAP IS'!V24</f>
        <v>527049</v>
      </c>
      <c r="W19" s="22">
        <f>'GAAP IS'!W24</f>
        <v>538501</v>
      </c>
      <c r="X19" s="22"/>
      <c r="Y19" s="22">
        <f t="shared" ref="Y19:AC19" si="11">SUMIFS($C19:$V19,$C$7:$V$7,Y$7)</f>
        <v>370030</v>
      </c>
      <c r="Z19" s="22">
        <f t="shared" si="11"/>
        <v>576038</v>
      </c>
      <c r="AA19" s="22">
        <f t="shared" si="11"/>
        <v>839306</v>
      </c>
      <c r="AB19" s="22">
        <f t="shared" si="11"/>
        <v>1303700</v>
      </c>
      <c r="AC19" s="22">
        <f t="shared" si="11"/>
        <v>1889685</v>
      </c>
      <c r="AD19" s="22"/>
      <c r="AE19" s="22">
        <f t="shared" ref="AE19:AF19" si="12">SUMIFS($C19:$W19,$C$5:$W$5,"&lt;="&amp;AE$5,$C$5:$W$5,"&gt;"&amp;EOMONTH(AE$5,-12))</f>
        <v>1445284</v>
      </c>
      <c r="AF19" s="22">
        <f t="shared" si="12"/>
        <v>2031432</v>
      </c>
    </row>
    <row r="21" spans="1:32" ht="12.75" x14ac:dyDescent="0.2">
      <c r="A21" s="9" t="s">
        <v>45</v>
      </c>
      <c r="B21" s="3"/>
      <c r="C21" s="22">
        <f>'GAAP IS'!C32</f>
        <v>120635</v>
      </c>
      <c r="D21" s="22">
        <f>'GAAP IS'!D32</f>
        <v>118416</v>
      </c>
      <c r="E21" s="22">
        <f>'GAAP IS'!E32</f>
        <v>148527</v>
      </c>
      <c r="F21" s="22">
        <f>'GAAP IS'!F32</f>
        <v>156910</v>
      </c>
      <c r="G21" s="22">
        <f>'GAAP IS'!G32</f>
        <v>207373</v>
      </c>
      <c r="H21" s="22">
        <f>'GAAP IS'!H32</f>
        <v>176319</v>
      </c>
      <c r="I21" s="22">
        <f>'GAAP IS'!I32</f>
        <v>182296</v>
      </c>
      <c r="J21" s="22">
        <f>'GAAP IS'!J32</f>
        <v>180503</v>
      </c>
      <c r="K21" s="22">
        <f>'GAAP IS'!K32</f>
        <v>187513</v>
      </c>
      <c r="L21" s="22">
        <f>'GAAP IS'!L32</f>
        <v>219653</v>
      </c>
      <c r="M21" s="22">
        <f>'GAAP IS'!M32</f>
        <v>233507</v>
      </c>
      <c r="N21" s="22">
        <f>'GAAP IS'!N32</f>
        <v>252839</v>
      </c>
      <c r="O21" s="22">
        <f>'GAAP IS'!O32</f>
        <v>276162</v>
      </c>
      <c r="P21" s="22">
        <f>'GAAP IS'!P32</f>
        <v>318463</v>
      </c>
      <c r="Q21" s="22">
        <f>'GAAP IS'!Q32</f>
        <v>362527</v>
      </c>
      <c r="R21" s="22">
        <f>'GAAP IS'!R32</f>
        <v>383162</v>
      </c>
      <c r="S21" s="22">
        <f>'GAAP IS'!S32</f>
        <v>418796</v>
      </c>
      <c r="T21" s="22">
        <f>'GAAP IS'!T32</f>
        <v>466688</v>
      </c>
      <c r="U21" s="22">
        <f>'GAAP IS'!U32</f>
        <v>467943</v>
      </c>
      <c r="V21" s="22">
        <f>'GAAP IS'!V32</f>
        <v>509701</v>
      </c>
      <c r="W21" s="22">
        <f>'GAAP IS'!W32</f>
        <v>628789</v>
      </c>
      <c r="X21" s="3"/>
      <c r="Y21" s="22">
        <f t="shared" ref="Y21:AC21" si="13">SUMIFS($C21:$V21,$C$7:$V$7,Y$7)</f>
        <v>544488</v>
      </c>
      <c r="Z21" s="22">
        <f t="shared" si="13"/>
        <v>746491</v>
      </c>
      <c r="AA21" s="22">
        <f t="shared" si="13"/>
        <v>893512</v>
      </c>
      <c r="AB21" s="22">
        <f t="shared" si="13"/>
        <v>1340314</v>
      </c>
      <c r="AC21" s="22">
        <f t="shared" si="13"/>
        <v>1863128</v>
      </c>
      <c r="AD21" s="3"/>
      <c r="AE21" s="22">
        <f t="shared" ref="AE21:AF21" si="14">SUMIFS($C21:$W21,$C$5:$W$5,"&lt;="&amp;AE$5,$C$5:$W$5,"&gt;"&amp;EOMONTH(AE$5,-12))</f>
        <v>1482948</v>
      </c>
      <c r="AF21" s="22">
        <f t="shared" si="14"/>
        <v>2073121</v>
      </c>
    </row>
    <row r="22" spans="1:32" ht="12.75" x14ac:dyDescent="0.2">
      <c r="A22" s="2" t="s">
        <v>49</v>
      </c>
      <c r="B22" s="46"/>
      <c r="C22" s="34">
        <v>13461</v>
      </c>
      <c r="D22" s="34">
        <v>15232</v>
      </c>
      <c r="E22" s="34">
        <v>20793</v>
      </c>
      <c r="F22" s="34">
        <v>32806</v>
      </c>
      <c r="G22" s="34">
        <v>31198</v>
      </c>
      <c r="H22" s="34">
        <v>36922</v>
      </c>
      <c r="I22" s="34">
        <v>36779</v>
      </c>
      <c r="J22" s="34">
        <v>33887</v>
      </c>
      <c r="K22" s="34">
        <v>31670</v>
      </c>
      <c r="L22" s="34">
        <v>39575</v>
      </c>
      <c r="M22" s="34">
        <v>40019</v>
      </c>
      <c r="N22" s="34">
        <v>44495</v>
      </c>
      <c r="O22" s="34">
        <v>46793</v>
      </c>
      <c r="P22" s="34">
        <v>52089</v>
      </c>
      <c r="Q22" s="34">
        <v>58895</v>
      </c>
      <c r="R22" s="34">
        <v>59007</v>
      </c>
      <c r="S22" s="34">
        <v>61067</v>
      </c>
      <c r="T22" s="34">
        <v>79437</v>
      </c>
      <c r="U22" s="34">
        <v>77388</v>
      </c>
      <c r="V22" s="34">
        <v>79816</v>
      </c>
      <c r="W22" s="34">
        <v>77227</v>
      </c>
      <c r="X22" s="3"/>
      <c r="Y22" s="26">
        <f t="shared" ref="Y22:AC22" si="15">SUMIFS($C22:$V22,$C$7:$V$7,Y$7)</f>
        <v>82292</v>
      </c>
      <c r="Z22" s="26">
        <f t="shared" si="15"/>
        <v>138786</v>
      </c>
      <c r="AA22" s="26">
        <f t="shared" si="15"/>
        <v>155759</v>
      </c>
      <c r="AB22" s="26">
        <f t="shared" si="15"/>
        <v>216784</v>
      </c>
      <c r="AC22" s="26">
        <f t="shared" si="15"/>
        <v>297708</v>
      </c>
      <c r="AD22" s="47"/>
      <c r="AE22" s="26">
        <f t="shared" ref="AE22:AF22" si="16">SUMIFS($C22:$W22,$C$5:$W$5,"&lt;="&amp;AE$5,$C$5:$W$5,"&gt;"&amp;EOMONTH(AE$5,-12))</f>
        <v>231058</v>
      </c>
      <c r="AF22" s="26">
        <f t="shared" si="16"/>
        <v>313868</v>
      </c>
    </row>
    <row r="23" spans="1:32" ht="12.75" x14ac:dyDescent="0.2">
      <c r="A23" s="2" t="s">
        <v>52</v>
      </c>
      <c r="B23" s="46"/>
      <c r="C23" s="34">
        <v>4943</v>
      </c>
      <c r="D23" s="34">
        <v>5268</v>
      </c>
      <c r="E23" s="34">
        <v>5428</v>
      </c>
      <c r="F23" s="34">
        <v>5165</v>
      </c>
      <c r="G23" s="34">
        <v>6189</v>
      </c>
      <c r="H23" s="34">
        <v>6573</v>
      </c>
      <c r="I23" s="34">
        <v>7230</v>
      </c>
      <c r="J23" s="34">
        <v>7544</v>
      </c>
      <c r="K23" s="34">
        <v>7531</v>
      </c>
      <c r="L23" s="34">
        <v>7400</v>
      </c>
      <c r="M23" s="34">
        <v>7498</v>
      </c>
      <c r="N23" s="34">
        <v>8115</v>
      </c>
      <c r="O23" s="34">
        <v>8580</v>
      </c>
      <c r="P23" s="34">
        <v>10242</v>
      </c>
      <c r="Q23" s="34">
        <v>13215</v>
      </c>
      <c r="R23" s="34">
        <v>20754</v>
      </c>
      <c r="S23" s="34">
        <v>17236</v>
      </c>
      <c r="T23" s="34">
        <v>16873</v>
      </c>
      <c r="U23" s="34">
        <v>17084</v>
      </c>
      <c r="V23" s="34">
        <v>16691</v>
      </c>
      <c r="W23" s="34">
        <v>17635</v>
      </c>
      <c r="X23" s="3"/>
      <c r="Y23" s="26">
        <f t="shared" ref="Y23:AC23" si="17">SUMIFS($C23:$V23,$C$7:$V$7,Y$7)</f>
        <v>20804</v>
      </c>
      <c r="Z23" s="26">
        <f t="shared" si="17"/>
        <v>27536</v>
      </c>
      <c r="AA23" s="26">
        <f t="shared" si="17"/>
        <v>30544</v>
      </c>
      <c r="AB23" s="26">
        <f t="shared" si="17"/>
        <v>52791</v>
      </c>
      <c r="AC23" s="26">
        <f t="shared" si="17"/>
        <v>67884</v>
      </c>
      <c r="AD23" s="47"/>
      <c r="AE23" s="26">
        <f t="shared" ref="AE23:AF23" si="18">SUMIFS($C23:$W23,$C$5:$W$5,"&lt;="&amp;AE$5,$C$5:$W$5,"&gt;"&amp;EOMONTH(AE$5,-12))</f>
        <v>61447</v>
      </c>
      <c r="AF23" s="26">
        <f t="shared" si="18"/>
        <v>68283</v>
      </c>
    </row>
    <row r="24" spans="1:32" ht="12.75" x14ac:dyDescent="0.2">
      <c r="A24" s="9" t="s">
        <v>54</v>
      </c>
      <c r="B24" s="46"/>
      <c r="C24" s="34"/>
      <c r="D24" s="34"/>
      <c r="E24" s="34"/>
      <c r="F24" s="34"/>
      <c r="G24" s="34">
        <v>50000</v>
      </c>
      <c r="H24" s="34">
        <v>-2000</v>
      </c>
      <c r="I24" s="34"/>
      <c r="J24" s="34"/>
      <c r="K24" s="34"/>
      <c r="L24" s="34"/>
      <c r="M24" s="34"/>
      <c r="N24" s="34"/>
      <c r="O24" s="34"/>
      <c r="P24" s="34"/>
      <c r="Q24" s="34"/>
      <c r="R24" s="34"/>
      <c r="S24" s="34"/>
      <c r="T24" s="34"/>
      <c r="U24" s="34"/>
      <c r="V24" s="34"/>
      <c r="W24" s="34"/>
      <c r="X24" s="3"/>
      <c r="Y24" s="26">
        <f t="shared" ref="Y24:AC24" si="19">SUMIFS($C24:$V24,$C$7:$V$7,Y$7)</f>
        <v>0</v>
      </c>
      <c r="Z24" s="26">
        <f t="shared" si="19"/>
        <v>48000</v>
      </c>
      <c r="AA24" s="26">
        <f t="shared" si="19"/>
        <v>0</v>
      </c>
      <c r="AB24" s="26">
        <f t="shared" si="19"/>
        <v>0</v>
      </c>
      <c r="AC24" s="26">
        <f t="shared" si="19"/>
        <v>0</v>
      </c>
      <c r="AD24" s="47"/>
      <c r="AE24" s="26">
        <f t="shared" ref="AE24:AF24" si="20">SUMIFS($C24:$W24,$C$5:$W$5,"&lt;="&amp;AE$5,$C$5:$W$5,"&gt;"&amp;EOMONTH(AE$5,-12))</f>
        <v>0</v>
      </c>
      <c r="AF24" s="26">
        <f t="shared" si="20"/>
        <v>0</v>
      </c>
    </row>
    <row r="25" spans="1:32" ht="12.75" x14ac:dyDescent="0.2">
      <c r="A25" s="9" t="s">
        <v>57</v>
      </c>
      <c r="B25" s="46"/>
      <c r="C25" s="34">
        <v>240</v>
      </c>
      <c r="D25" s="34"/>
      <c r="E25" s="34"/>
      <c r="F25" s="34">
        <v>30</v>
      </c>
      <c r="G25" s="34">
        <v>-38</v>
      </c>
      <c r="H25" s="34">
        <v>169</v>
      </c>
      <c r="I25" s="34">
        <v>-219</v>
      </c>
      <c r="J25" s="34">
        <v>39</v>
      </c>
      <c r="K25" s="34"/>
      <c r="L25" s="34">
        <v>2</v>
      </c>
      <c r="M25" s="34">
        <v>62</v>
      </c>
      <c r="N25" s="34">
        <v>36</v>
      </c>
      <c r="O25" s="34">
        <v>-98</v>
      </c>
      <c r="P25" s="34">
        <v>73</v>
      </c>
      <c r="Q25" s="34">
        <v>806</v>
      </c>
      <c r="R25" s="34">
        <v>-1005</v>
      </c>
      <c r="S25" s="34">
        <v>19</v>
      </c>
      <c r="T25" s="34">
        <v>281</v>
      </c>
      <c r="U25" s="34">
        <v>128</v>
      </c>
      <c r="V25" s="34">
        <v>580</v>
      </c>
      <c r="W25" s="34">
        <v>218</v>
      </c>
      <c r="X25" s="3"/>
      <c r="Y25" s="26">
        <f t="shared" ref="Y25:AC25" si="21">SUMIFS($C25:$V25,$C$7:$V$7,Y$7)</f>
        <v>270</v>
      </c>
      <c r="Z25" s="26">
        <f t="shared" si="21"/>
        <v>-49</v>
      </c>
      <c r="AA25" s="26">
        <f t="shared" si="21"/>
        <v>100</v>
      </c>
      <c r="AB25" s="26">
        <f t="shared" si="21"/>
        <v>-224</v>
      </c>
      <c r="AC25" s="26">
        <f t="shared" si="21"/>
        <v>1008</v>
      </c>
      <c r="AD25" s="47"/>
      <c r="AE25" s="26">
        <f t="shared" ref="AE25:AF25" si="22">SUMIFS($C25:$W25,$C$5:$W$5,"&lt;="&amp;AE$5,$C$5:$W$5,"&gt;"&amp;EOMONTH(AE$5,-12))</f>
        <v>-107</v>
      </c>
      <c r="AF25" s="26">
        <f t="shared" si="22"/>
        <v>1207</v>
      </c>
    </row>
    <row r="26" spans="1:32" ht="12.75" x14ac:dyDescent="0.2">
      <c r="A26" s="9" t="s">
        <v>59</v>
      </c>
      <c r="B26" s="46"/>
      <c r="C26" s="34"/>
      <c r="D26" s="34"/>
      <c r="E26" s="34"/>
      <c r="F26" s="34"/>
      <c r="G26" s="34"/>
      <c r="H26" s="34"/>
      <c r="I26" s="34"/>
      <c r="J26" s="34"/>
      <c r="K26" s="34"/>
      <c r="L26" s="34"/>
      <c r="M26" s="34"/>
      <c r="N26" s="34"/>
      <c r="O26" s="34"/>
      <c r="P26" s="34">
        <v>4363</v>
      </c>
      <c r="Q26" s="34">
        <v>345</v>
      </c>
      <c r="R26" s="34"/>
      <c r="S26" s="34">
        <v>782</v>
      </c>
      <c r="T26" s="34">
        <v>6133</v>
      </c>
      <c r="U26" s="34">
        <v>1564</v>
      </c>
      <c r="V26" s="34">
        <v>1260</v>
      </c>
      <c r="W26" s="53">
        <v>1524</v>
      </c>
      <c r="X26" s="3"/>
      <c r="Y26" s="26">
        <f t="shared" ref="Y26:AC26" si="23">SUMIFS($C26:$V26,$C$7:$V$7,Y$7)</f>
        <v>0</v>
      </c>
      <c r="Z26" s="26">
        <f t="shared" si="23"/>
        <v>0</v>
      </c>
      <c r="AA26" s="26">
        <f t="shared" si="23"/>
        <v>0</v>
      </c>
      <c r="AB26" s="26">
        <f t="shared" si="23"/>
        <v>4708</v>
      </c>
      <c r="AC26" s="26">
        <f t="shared" si="23"/>
        <v>9739</v>
      </c>
      <c r="AD26" s="47"/>
      <c r="AE26" s="26">
        <f t="shared" ref="AE26:AF26" si="24">SUMIFS($C26:$W26,$C$5:$W$5,"&lt;="&amp;AE$5,$C$5:$W$5,"&gt;"&amp;EOMONTH(AE$5,-12))</f>
        <v>5490</v>
      </c>
      <c r="AF26" s="26">
        <f t="shared" si="24"/>
        <v>10481</v>
      </c>
    </row>
    <row r="27" spans="1:32" ht="12.75" x14ac:dyDescent="0.2">
      <c r="A27" s="21" t="s">
        <v>65</v>
      </c>
      <c r="B27" s="3"/>
      <c r="C27" s="43">
        <f t="shared" ref="C27:W27" si="25">C21-SUM(C22:C26)</f>
        <v>101991</v>
      </c>
      <c r="D27" s="43">
        <f t="shared" si="25"/>
        <v>97916</v>
      </c>
      <c r="E27" s="43">
        <f t="shared" si="25"/>
        <v>122306</v>
      </c>
      <c r="F27" s="43">
        <f t="shared" si="25"/>
        <v>118909</v>
      </c>
      <c r="G27" s="43">
        <f t="shared" si="25"/>
        <v>120024</v>
      </c>
      <c r="H27" s="43">
        <f t="shared" si="25"/>
        <v>134655</v>
      </c>
      <c r="I27" s="43">
        <f t="shared" si="25"/>
        <v>138506</v>
      </c>
      <c r="J27" s="43">
        <f t="shared" si="25"/>
        <v>139033</v>
      </c>
      <c r="K27" s="43">
        <f t="shared" si="25"/>
        <v>148312</v>
      </c>
      <c r="L27" s="43">
        <f t="shared" si="25"/>
        <v>172676</v>
      </c>
      <c r="M27" s="43">
        <f t="shared" si="25"/>
        <v>185928</v>
      </c>
      <c r="N27" s="43">
        <f t="shared" si="25"/>
        <v>200193</v>
      </c>
      <c r="O27" s="43">
        <f t="shared" si="25"/>
        <v>220887</v>
      </c>
      <c r="P27" s="43">
        <f t="shared" si="25"/>
        <v>251696</v>
      </c>
      <c r="Q27" s="43">
        <f t="shared" si="25"/>
        <v>289266</v>
      </c>
      <c r="R27" s="43">
        <f t="shared" si="25"/>
        <v>304406</v>
      </c>
      <c r="S27" s="43">
        <f t="shared" si="25"/>
        <v>339692</v>
      </c>
      <c r="T27" s="43">
        <f t="shared" si="25"/>
        <v>363964</v>
      </c>
      <c r="U27" s="43">
        <f t="shared" si="25"/>
        <v>371779</v>
      </c>
      <c r="V27" s="43">
        <f t="shared" si="25"/>
        <v>411354</v>
      </c>
      <c r="W27" s="43">
        <f t="shared" si="25"/>
        <v>532185</v>
      </c>
      <c r="X27" s="3"/>
      <c r="Y27" s="43">
        <f t="shared" ref="Y27:AC27" si="26">SUMIFS($C27:$V27,$C$7:$V$7,Y$7)</f>
        <v>441122</v>
      </c>
      <c r="Z27" s="43">
        <f t="shared" si="26"/>
        <v>532218</v>
      </c>
      <c r="AA27" s="43">
        <f t="shared" si="26"/>
        <v>707109</v>
      </c>
      <c r="AB27" s="43">
        <f t="shared" si="26"/>
        <v>1066255</v>
      </c>
      <c r="AC27" s="43">
        <f t="shared" si="26"/>
        <v>1486789</v>
      </c>
      <c r="AD27" s="3"/>
      <c r="AE27" s="43">
        <f t="shared" ref="AE27:AF27" si="27">SUMIFS($C27:$W27,$C$5:$W$5,"&lt;="&amp;AE$5,$C$5:$W$5,"&gt;"&amp;EOMONTH(AE$5,-12))</f>
        <v>1185060</v>
      </c>
      <c r="AF27" s="43">
        <f t="shared" si="27"/>
        <v>1679282</v>
      </c>
    </row>
    <row r="28" spans="1:32" ht="12.75" x14ac:dyDescent="0.2">
      <c r="A28" s="21"/>
      <c r="B28" s="3"/>
      <c r="C28" s="57"/>
      <c r="D28" s="57"/>
      <c r="E28" s="57"/>
      <c r="F28" s="57"/>
      <c r="G28" s="57"/>
      <c r="H28" s="57"/>
      <c r="I28" s="57"/>
      <c r="J28" s="57"/>
      <c r="K28" s="57"/>
      <c r="L28" s="57"/>
      <c r="M28" s="57"/>
      <c r="N28" s="57"/>
      <c r="O28" s="57"/>
      <c r="P28" s="57"/>
      <c r="Q28" s="57"/>
      <c r="R28" s="57"/>
      <c r="S28" s="57"/>
      <c r="T28" s="57"/>
      <c r="U28" s="57"/>
      <c r="V28" s="57"/>
      <c r="W28" s="57"/>
      <c r="X28" s="3"/>
      <c r="Y28" s="43"/>
      <c r="Z28" s="43"/>
      <c r="AA28" s="43"/>
      <c r="AB28" s="43"/>
      <c r="AC28" s="43"/>
      <c r="AD28" s="3"/>
      <c r="AE28" s="43"/>
      <c r="AF28" s="43"/>
    </row>
    <row r="29" spans="1:32" ht="12.75" x14ac:dyDescent="0.2">
      <c r="A29" s="26" t="s">
        <v>68</v>
      </c>
      <c r="B29" s="58"/>
      <c r="C29" s="59">
        <v>7577</v>
      </c>
      <c r="D29" s="59">
        <v>8433</v>
      </c>
      <c r="E29" s="59">
        <v>10220</v>
      </c>
      <c r="F29" s="59">
        <v>3747</v>
      </c>
      <c r="G29" s="59">
        <v>701</v>
      </c>
      <c r="H29" s="59">
        <v>-1750</v>
      </c>
      <c r="I29" s="59">
        <v>-185</v>
      </c>
      <c r="J29" s="59">
        <v>2301</v>
      </c>
      <c r="K29" s="32">
        <v>1906</v>
      </c>
      <c r="L29" s="32">
        <v>1743</v>
      </c>
      <c r="M29" s="32">
        <v>1616</v>
      </c>
      <c r="N29" s="32">
        <v>1547</v>
      </c>
      <c r="O29" s="32">
        <v>1611</v>
      </c>
      <c r="P29" s="32">
        <v>4202</v>
      </c>
      <c r="Q29" s="32">
        <v>7603</v>
      </c>
      <c r="R29" s="32">
        <v>5662</v>
      </c>
      <c r="S29" s="32">
        <v>4635</v>
      </c>
      <c r="T29" s="32">
        <v>3423</v>
      </c>
      <c r="U29" s="32">
        <v>3065</v>
      </c>
      <c r="V29" s="32">
        <v>2834</v>
      </c>
      <c r="W29" s="32">
        <v>3015</v>
      </c>
      <c r="X29" s="58"/>
      <c r="Y29" s="22">
        <f t="shared" ref="Y29:AC29" si="28">SUMIFS($C29:$V29,$C$7:$V$7,Y$7)</f>
        <v>29977</v>
      </c>
      <c r="Z29" s="22">
        <f t="shared" si="28"/>
        <v>1067</v>
      </c>
      <c r="AA29" s="22">
        <f t="shared" si="28"/>
        <v>6812</v>
      </c>
      <c r="AB29" s="22">
        <f t="shared" si="28"/>
        <v>19078</v>
      </c>
      <c r="AC29" s="22">
        <f t="shared" si="28"/>
        <v>13957</v>
      </c>
      <c r="AD29" s="58"/>
      <c r="AE29" s="22">
        <f t="shared" ref="AE29:AF29" si="29">SUMIFS($C29:$W29,$C$5:$W$5,"&lt;="&amp;AE$5,$C$5:$W$5,"&gt;"&amp;EOMONTH(AE$5,-12))</f>
        <v>22102</v>
      </c>
      <c r="AF29" s="22">
        <f t="shared" si="29"/>
        <v>12337</v>
      </c>
    </row>
    <row r="30" spans="1:32" ht="12.75" x14ac:dyDescent="0.2">
      <c r="A30" s="21"/>
      <c r="B30" s="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ht="12.75" collapsed="1" x14ac:dyDescent="0.2">
      <c r="A31" s="21" t="s">
        <v>72</v>
      </c>
      <c r="B31" s="3"/>
      <c r="C31" s="43">
        <f t="shared" ref="C31:W31" si="30">C19-C27+C29</f>
        <v>-20129</v>
      </c>
      <c r="D31" s="43">
        <f t="shared" si="30"/>
        <v>859</v>
      </c>
      <c r="E31" s="43">
        <f t="shared" si="30"/>
        <v>-15776</v>
      </c>
      <c r="F31" s="43">
        <f t="shared" si="30"/>
        <v>-6069</v>
      </c>
      <c r="G31" s="43">
        <f t="shared" si="30"/>
        <v>-9083</v>
      </c>
      <c r="H31" s="43">
        <f t="shared" si="30"/>
        <v>12554</v>
      </c>
      <c r="I31" s="43">
        <f t="shared" si="30"/>
        <v>11623</v>
      </c>
      <c r="J31" s="43">
        <f t="shared" si="30"/>
        <v>29793</v>
      </c>
      <c r="K31" s="43">
        <f t="shared" si="30"/>
        <v>27025</v>
      </c>
      <c r="L31" s="43">
        <f t="shared" si="30"/>
        <v>36496</v>
      </c>
      <c r="M31" s="43">
        <f t="shared" si="30"/>
        <v>34304</v>
      </c>
      <c r="N31" s="43">
        <f t="shared" si="30"/>
        <v>41184</v>
      </c>
      <c r="O31" s="43">
        <f t="shared" si="30"/>
        <v>35894</v>
      </c>
      <c r="P31" s="43">
        <f t="shared" si="30"/>
        <v>68322</v>
      </c>
      <c r="Q31" s="43">
        <f t="shared" si="30"/>
        <v>70997</v>
      </c>
      <c r="R31" s="43">
        <f t="shared" si="30"/>
        <v>81310</v>
      </c>
      <c r="S31" s="43">
        <f t="shared" si="30"/>
        <v>61697</v>
      </c>
      <c r="T31" s="43">
        <f t="shared" si="30"/>
        <v>105304</v>
      </c>
      <c r="U31" s="43">
        <f t="shared" si="30"/>
        <v>131323</v>
      </c>
      <c r="V31" s="43">
        <f t="shared" si="30"/>
        <v>118529</v>
      </c>
      <c r="W31" s="43">
        <f t="shared" si="30"/>
        <v>9331</v>
      </c>
      <c r="X31" s="43"/>
      <c r="Y31" s="43">
        <f t="shared" ref="Y31:AC31" si="31">SUMIFS($C31:$V31,$C$7:$V$7,Y$7)</f>
        <v>-41115</v>
      </c>
      <c r="Z31" s="43">
        <f t="shared" si="31"/>
        <v>44887</v>
      </c>
      <c r="AA31" s="43">
        <f t="shared" si="31"/>
        <v>139009</v>
      </c>
      <c r="AB31" s="43">
        <f t="shared" si="31"/>
        <v>256523</v>
      </c>
      <c r="AC31" s="43">
        <f t="shared" si="31"/>
        <v>416853</v>
      </c>
      <c r="AD31" s="43"/>
      <c r="AE31" s="43">
        <f t="shared" ref="AE31:AF31" si="32">SUMIFS($C31:$W31,$C$5:$W$5,"&lt;="&amp;AE$5,$C$5:$W$5,"&gt;"&amp;EOMONTH(AE$5,-12))</f>
        <v>282326</v>
      </c>
      <c r="AF31" s="43">
        <f t="shared" si="32"/>
        <v>364487</v>
      </c>
    </row>
    <row r="32" spans="1:32" ht="12.75" hidden="1" outlineLevel="1" x14ac:dyDescent="0.2">
      <c r="A32" s="21"/>
      <c r="B32" s="3"/>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row r="33" spans="1:32" ht="12.75" hidden="1" outlineLevel="1" x14ac:dyDescent="0.2">
      <c r="A33" s="21" t="s">
        <v>78</v>
      </c>
      <c r="B33" s="3"/>
      <c r="C33" s="22">
        <f>'GAAP IS'!C27</f>
        <v>39545</v>
      </c>
      <c r="D33" s="22">
        <f>'GAAP IS'!D27</f>
        <v>45887</v>
      </c>
      <c r="E33" s="22">
        <f>'GAAP IS'!E27</f>
        <v>55020</v>
      </c>
      <c r="F33" s="22">
        <f>'GAAP IS'!F27</f>
        <v>59186</v>
      </c>
      <c r="G33" s="22">
        <f>'GAAP IS'!G27</f>
        <v>64592</v>
      </c>
      <c r="H33" s="22">
        <f>'GAAP IS'!H27</f>
        <v>68638</v>
      </c>
      <c r="I33" s="22">
        <f>'GAAP IS'!I27</f>
        <v>70418</v>
      </c>
      <c r="J33" s="22">
        <f>'GAAP IS'!J27</f>
        <v>64889</v>
      </c>
      <c r="K33" s="22">
        <f>'GAAP IS'!K27</f>
        <v>68582</v>
      </c>
      <c r="L33" s="22">
        <f>'GAAP IS'!L27</f>
        <v>78126</v>
      </c>
      <c r="M33" s="22">
        <f>'GAAP IS'!M27</f>
        <v>82547</v>
      </c>
      <c r="N33" s="22">
        <f>'GAAP IS'!N27</f>
        <v>92633</v>
      </c>
      <c r="O33" s="22">
        <f>'GAAP IS'!O27</f>
        <v>105095</v>
      </c>
      <c r="P33" s="22">
        <f>'GAAP IS'!P27</f>
        <v>114800</v>
      </c>
      <c r="Q33" s="22">
        <f>'GAAP IS'!Q27</f>
        <v>135773</v>
      </c>
      <c r="R33" s="22">
        <f>'GAAP IS'!R27</f>
        <v>141811</v>
      </c>
      <c r="S33" s="22">
        <f>'GAAP IS'!S27</f>
        <v>154350</v>
      </c>
      <c r="T33" s="22">
        <f>'GAAP IS'!T27</f>
        <v>174201</v>
      </c>
      <c r="U33" s="22">
        <f>'GAAP IS'!U27</f>
        <v>168771</v>
      </c>
      <c r="V33" s="22">
        <f>'GAAP IS'!V27</f>
        <v>173284</v>
      </c>
      <c r="W33" s="22">
        <f>'GAAP IS'!W27</f>
        <v>194986</v>
      </c>
      <c r="X33" s="22"/>
      <c r="Y33" s="22">
        <f t="shared" ref="Y33:AC33" si="33">SUMIFS($C33:$V33,$C$7:$V$7,Y$7)</f>
        <v>199638</v>
      </c>
      <c r="Z33" s="22">
        <f t="shared" si="33"/>
        <v>268537</v>
      </c>
      <c r="AA33" s="22">
        <f t="shared" si="33"/>
        <v>321888</v>
      </c>
      <c r="AB33" s="22">
        <f t="shared" si="33"/>
        <v>497479</v>
      </c>
      <c r="AC33" s="22">
        <f t="shared" si="33"/>
        <v>670606</v>
      </c>
      <c r="AD33" s="22"/>
      <c r="AE33" s="22"/>
      <c r="AF33" s="22"/>
    </row>
    <row r="34" spans="1:32" ht="12.75" hidden="1" outlineLevel="1" x14ac:dyDescent="0.2">
      <c r="A34" s="2" t="s">
        <v>49</v>
      </c>
      <c r="B34" s="3"/>
      <c r="C34" s="34">
        <v>8958</v>
      </c>
      <c r="D34" s="34">
        <v>10391</v>
      </c>
      <c r="E34" s="34">
        <v>13938</v>
      </c>
      <c r="F34" s="34">
        <v>21451</v>
      </c>
      <c r="G34" s="34">
        <v>21947</v>
      </c>
      <c r="H34" s="34">
        <v>24168</v>
      </c>
      <c r="I34" s="34">
        <v>23949</v>
      </c>
      <c r="J34" s="34">
        <v>21340</v>
      </c>
      <c r="K34" s="34">
        <v>19356</v>
      </c>
      <c r="L34" s="34">
        <v>25136</v>
      </c>
      <c r="M34" s="34">
        <v>25254</v>
      </c>
      <c r="N34" s="34">
        <v>28564</v>
      </c>
      <c r="O34" s="34">
        <v>30482</v>
      </c>
      <c r="P34" s="34">
        <v>33806</v>
      </c>
      <c r="Q34" s="34">
        <v>39525</v>
      </c>
      <c r="R34" s="34">
        <v>40788</v>
      </c>
      <c r="S34" s="34">
        <v>42649</v>
      </c>
      <c r="T34" s="34">
        <v>56144</v>
      </c>
      <c r="U34" s="34">
        <v>56321</v>
      </c>
      <c r="V34" s="34">
        <v>55726</v>
      </c>
      <c r="W34" s="53">
        <v>57400</v>
      </c>
      <c r="X34" s="3"/>
      <c r="Y34" s="64">
        <f t="shared" ref="Y34:AC34" si="34">SUMIFS($C34:$V34,$C$7:$V$7,Y$7)</f>
        <v>54738</v>
      </c>
      <c r="Z34" s="64">
        <f t="shared" si="34"/>
        <v>91404</v>
      </c>
      <c r="AA34" s="64">
        <f t="shared" si="34"/>
        <v>98310</v>
      </c>
      <c r="AB34" s="64">
        <f t="shared" si="34"/>
        <v>144601</v>
      </c>
      <c r="AC34" s="64">
        <f t="shared" si="34"/>
        <v>210840</v>
      </c>
      <c r="AD34" s="3"/>
      <c r="AE34" s="64"/>
      <c r="AF34" s="64"/>
    </row>
    <row r="35" spans="1:32" ht="12.75" hidden="1" outlineLevel="1" x14ac:dyDescent="0.2">
      <c r="A35" s="2" t="s">
        <v>52</v>
      </c>
      <c r="B35" s="3"/>
      <c r="C35" s="34">
        <v>2881</v>
      </c>
      <c r="D35" s="34">
        <v>3055</v>
      </c>
      <c r="E35" s="34">
        <v>3171</v>
      </c>
      <c r="F35" s="34">
        <v>2240</v>
      </c>
      <c r="G35" s="34">
        <v>3141</v>
      </c>
      <c r="H35" s="34">
        <v>3128</v>
      </c>
      <c r="I35" s="34">
        <v>3282</v>
      </c>
      <c r="J35" s="34">
        <v>3639</v>
      </c>
      <c r="K35" s="34">
        <v>3712</v>
      </c>
      <c r="L35" s="34">
        <v>3436</v>
      </c>
      <c r="M35" s="34">
        <v>4586</v>
      </c>
      <c r="N35" s="34">
        <v>5221</v>
      </c>
      <c r="O35" s="34">
        <v>5473</v>
      </c>
      <c r="P35" s="34">
        <v>5974</v>
      </c>
      <c r="Q35" s="34">
        <v>7831</v>
      </c>
      <c r="R35" s="34">
        <v>14029</v>
      </c>
      <c r="S35" s="34">
        <v>11142</v>
      </c>
      <c r="T35" s="34">
        <v>11478</v>
      </c>
      <c r="U35" s="34">
        <v>11933</v>
      </c>
      <c r="V35" s="34">
        <v>11446</v>
      </c>
      <c r="W35" s="34">
        <v>12336</v>
      </c>
      <c r="X35" s="3"/>
      <c r="Y35" s="64">
        <f t="shared" ref="Y35:AC35" si="35">SUMIFS($C35:$V35,$C$7:$V$7,Y$7)</f>
        <v>11347</v>
      </c>
      <c r="Z35" s="64">
        <f t="shared" si="35"/>
        <v>13190</v>
      </c>
      <c r="AA35" s="64">
        <f t="shared" si="35"/>
        <v>16955</v>
      </c>
      <c r="AB35" s="64">
        <f t="shared" si="35"/>
        <v>33307</v>
      </c>
      <c r="AC35" s="64">
        <f t="shared" si="35"/>
        <v>45999</v>
      </c>
      <c r="AD35" s="3"/>
      <c r="AE35" s="64"/>
      <c r="AF35" s="64"/>
    </row>
    <row r="36" spans="1:32" ht="12.75" hidden="1" outlineLevel="1" x14ac:dyDescent="0.2">
      <c r="A36" s="2" t="s">
        <v>87</v>
      </c>
      <c r="B36" s="3"/>
      <c r="C36" s="34"/>
      <c r="D36" s="34"/>
      <c r="E36" s="34"/>
      <c r="F36" s="34"/>
      <c r="G36" s="34"/>
      <c r="H36" s="34">
        <v>169</v>
      </c>
      <c r="I36" s="34">
        <v>-169</v>
      </c>
      <c r="J36" s="34"/>
      <c r="K36" s="34"/>
      <c r="L36" s="34"/>
      <c r="M36" s="34"/>
      <c r="N36" s="34"/>
      <c r="O36" s="34"/>
      <c r="P36" s="34"/>
      <c r="Q36" s="34">
        <v>712</v>
      </c>
      <c r="R36" s="34">
        <v>-986</v>
      </c>
      <c r="S36" s="34">
        <v>-71</v>
      </c>
      <c r="T36" s="34"/>
      <c r="U36" s="34"/>
      <c r="V36" s="34">
        <v>379</v>
      </c>
      <c r="W36" s="34">
        <v>158</v>
      </c>
      <c r="X36" s="3"/>
      <c r="Y36" s="64">
        <f t="shared" ref="Y36:AC36" si="36">SUMIFS($C36:$V36,$C$7:$V$7,Y$7)</f>
        <v>0</v>
      </c>
      <c r="Z36" s="64">
        <f t="shared" si="36"/>
        <v>0</v>
      </c>
      <c r="AA36" s="64">
        <f t="shared" si="36"/>
        <v>0</v>
      </c>
      <c r="AB36" s="64">
        <f t="shared" si="36"/>
        <v>-274</v>
      </c>
      <c r="AC36" s="64">
        <f t="shared" si="36"/>
        <v>308</v>
      </c>
      <c r="AD36" s="3"/>
      <c r="AE36" s="64"/>
      <c r="AF36" s="64"/>
    </row>
    <row r="37" spans="1:32" ht="12.75" hidden="1" outlineLevel="1" x14ac:dyDescent="0.2">
      <c r="A37" s="21" t="s">
        <v>90</v>
      </c>
      <c r="B37" s="3"/>
      <c r="C37" s="43">
        <f t="shared" ref="C37:W37" si="37">C33-SUM(C34:C36)</f>
        <v>27706</v>
      </c>
      <c r="D37" s="43">
        <f t="shared" si="37"/>
        <v>32441</v>
      </c>
      <c r="E37" s="43">
        <f t="shared" si="37"/>
        <v>37911</v>
      </c>
      <c r="F37" s="43">
        <f t="shared" si="37"/>
        <v>35495</v>
      </c>
      <c r="G37" s="43">
        <f t="shared" si="37"/>
        <v>39504</v>
      </c>
      <c r="H37" s="43">
        <f t="shared" si="37"/>
        <v>41173</v>
      </c>
      <c r="I37" s="43">
        <f t="shared" si="37"/>
        <v>43356</v>
      </c>
      <c r="J37" s="43">
        <f t="shared" si="37"/>
        <v>39910</v>
      </c>
      <c r="K37" s="43">
        <f t="shared" si="37"/>
        <v>45514</v>
      </c>
      <c r="L37" s="43">
        <f t="shared" si="37"/>
        <v>49554</v>
      </c>
      <c r="M37" s="43">
        <f t="shared" si="37"/>
        <v>52707</v>
      </c>
      <c r="N37" s="43">
        <f t="shared" si="37"/>
        <v>58848</v>
      </c>
      <c r="O37" s="43">
        <f t="shared" si="37"/>
        <v>69140</v>
      </c>
      <c r="P37" s="43">
        <f t="shared" si="37"/>
        <v>75020</v>
      </c>
      <c r="Q37" s="43">
        <f t="shared" si="37"/>
        <v>87705</v>
      </c>
      <c r="R37" s="43">
        <f t="shared" si="37"/>
        <v>87980</v>
      </c>
      <c r="S37" s="43">
        <f t="shared" si="37"/>
        <v>100630</v>
      </c>
      <c r="T37" s="43">
        <f t="shared" si="37"/>
        <v>106579</v>
      </c>
      <c r="U37" s="43">
        <f t="shared" si="37"/>
        <v>100517</v>
      </c>
      <c r="V37" s="43">
        <f t="shared" si="37"/>
        <v>105733</v>
      </c>
      <c r="W37" s="43">
        <f t="shared" si="37"/>
        <v>125092</v>
      </c>
      <c r="X37" s="3"/>
      <c r="Y37" s="43">
        <f t="shared" ref="Y37:AC37" si="38">SUMIFS($C37:$V37,$C$7:$V$7,Y$7)</f>
        <v>133553</v>
      </c>
      <c r="Z37" s="43">
        <f t="shared" si="38"/>
        <v>163943</v>
      </c>
      <c r="AA37" s="43">
        <f t="shared" si="38"/>
        <v>206623</v>
      </c>
      <c r="AB37" s="43">
        <f t="shared" si="38"/>
        <v>319845</v>
      </c>
      <c r="AC37" s="43">
        <f t="shared" si="38"/>
        <v>413459</v>
      </c>
      <c r="AD37" s="3"/>
      <c r="AE37" s="43"/>
      <c r="AF37" s="43"/>
    </row>
    <row r="38" spans="1:32" ht="12.75" hidden="1" outlineLevel="1" x14ac:dyDescent="0.2">
      <c r="A38" s="9"/>
      <c r="B38" s="3"/>
      <c r="C38" s="3"/>
      <c r="D38" s="3"/>
      <c r="E38" s="3"/>
      <c r="F38" s="3"/>
      <c r="G38" s="3"/>
      <c r="H38" s="3"/>
      <c r="I38" s="3"/>
      <c r="J38" s="3"/>
      <c r="K38" s="3"/>
      <c r="L38" s="3"/>
      <c r="M38" s="3"/>
      <c r="N38" s="3"/>
      <c r="O38" s="3"/>
      <c r="P38" s="3"/>
      <c r="Q38" s="3"/>
      <c r="R38" s="3"/>
      <c r="S38" s="3"/>
      <c r="T38" s="26"/>
      <c r="U38" s="26"/>
      <c r="V38" s="26"/>
      <c r="W38" s="26"/>
      <c r="X38" s="3"/>
      <c r="Y38" s="66"/>
      <c r="Z38" s="66"/>
      <c r="AA38" s="66"/>
      <c r="AB38" s="66"/>
      <c r="AC38" s="66"/>
      <c r="AD38" s="66"/>
      <c r="AE38" s="66"/>
      <c r="AF38" s="66"/>
    </row>
    <row r="39" spans="1:32" ht="12.75" hidden="1" outlineLevel="1" x14ac:dyDescent="0.2">
      <c r="A39" s="21" t="s">
        <v>96</v>
      </c>
      <c r="B39" s="3"/>
      <c r="C39" s="22">
        <f>'GAAP IS'!C28</f>
        <v>36181</v>
      </c>
      <c r="D39" s="22">
        <f>'GAAP IS'!D28</f>
        <v>31730</v>
      </c>
      <c r="E39" s="22">
        <f>'GAAP IS'!E28</f>
        <v>39259</v>
      </c>
      <c r="F39" s="22">
        <f>'GAAP IS'!F28</f>
        <v>38448</v>
      </c>
      <c r="G39" s="22">
        <f>'GAAP IS'!G28</f>
        <v>38496</v>
      </c>
      <c r="H39" s="22">
        <f>'GAAP IS'!H28</f>
        <v>39220</v>
      </c>
      <c r="I39" s="22">
        <f>'GAAP IS'!I28</f>
        <v>46754</v>
      </c>
      <c r="J39" s="22">
        <f>'GAAP IS'!J28</f>
        <v>49406</v>
      </c>
      <c r="K39" s="22">
        <f>'GAAP IS'!K28</f>
        <v>49900</v>
      </c>
      <c r="L39" s="22">
        <f>'GAAP IS'!L28</f>
        <v>59916</v>
      </c>
      <c r="M39" s="22">
        <f>'GAAP IS'!M28</f>
        <v>66533</v>
      </c>
      <c r="N39" s="22">
        <f>'GAAP IS'!N28</f>
        <v>76821</v>
      </c>
      <c r="O39" s="22">
        <f>'GAAP IS'!O28</f>
        <v>77266</v>
      </c>
      <c r="P39" s="22">
        <f>'GAAP IS'!P28</f>
        <v>98243</v>
      </c>
      <c r="Q39" s="22">
        <f>'GAAP IS'!Q28</f>
        <v>116337</v>
      </c>
      <c r="R39" s="22">
        <f>'GAAP IS'!R28</f>
        <v>119305</v>
      </c>
      <c r="S39" s="22">
        <f>'GAAP IS'!S28</f>
        <v>133713</v>
      </c>
      <c r="T39" s="22">
        <f>'GAAP IS'!T28</f>
        <v>156421</v>
      </c>
      <c r="U39" s="22">
        <f>'GAAP IS'!U28</f>
        <v>149467</v>
      </c>
      <c r="V39" s="22">
        <f>'GAAP IS'!V28</f>
        <v>185231</v>
      </c>
      <c r="W39" s="22">
        <f>'GAAP IS'!W28</f>
        <v>194535</v>
      </c>
      <c r="X39" s="22"/>
      <c r="Y39" s="22">
        <f t="shared" ref="Y39:AC39" si="39">SUMIFS($C39:$V39,$C$7:$V$7,Y$7)</f>
        <v>145618</v>
      </c>
      <c r="Z39" s="22">
        <f t="shared" si="39"/>
        <v>173876</v>
      </c>
      <c r="AA39" s="22">
        <f t="shared" si="39"/>
        <v>253170</v>
      </c>
      <c r="AB39" s="22">
        <f t="shared" si="39"/>
        <v>411151</v>
      </c>
      <c r="AC39" s="22">
        <f t="shared" si="39"/>
        <v>624832</v>
      </c>
      <c r="AD39" s="22"/>
      <c r="AE39" s="22"/>
      <c r="AF39" s="22"/>
    </row>
    <row r="40" spans="1:32" ht="12.75" hidden="1" outlineLevel="1" x14ac:dyDescent="0.2">
      <c r="A40" s="2" t="s">
        <v>49</v>
      </c>
      <c r="B40" s="3"/>
      <c r="C40" s="34">
        <v>1429</v>
      </c>
      <c r="D40" s="34">
        <v>1345</v>
      </c>
      <c r="E40" s="34">
        <v>1750</v>
      </c>
      <c r="F40" s="34">
        <v>2836</v>
      </c>
      <c r="G40" s="34">
        <v>2903</v>
      </c>
      <c r="H40" s="34">
        <v>3363</v>
      </c>
      <c r="I40" s="34">
        <v>3697</v>
      </c>
      <c r="J40" s="34">
        <v>4159</v>
      </c>
      <c r="K40" s="34">
        <v>3935</v>
      </c>
      <c r="L40" s="34">
        <v>4355</v>
      </c>
      <c r="M40" s="34">
        <v>4579</v>
      </c>
      <c r="N40" s="34">
        <v>4699</v>
      </c>
      <c r="O40" s="34">
        <v>4961</v>
      </c>
      <c r="P40" s="34">
        <v>5634</v>
      </c>
      <c r="Q40" s="34">
        <v>6108</v>
      </c>
      <c r="R40" s="34">
        <v>6094</v>
      </c>
      <c r="S40" s="34">
        <v>6202</v>
      </c>
      <c r="T40" s="34">
        <v>7833</v>
      </c>
      <c r="U40" s="34">
        <v>6269</v>
      </c>
      <c r="V40" s="34">
        <v>6416</v>
      </c>
      <c r="W40" s="53">
        <v>6407</v>
      </c>
      <c r="X40" s="3"/>
      <c r="Y40" s="64">
        <f t="shared" ref="Y40:AC40" si="40">SUMIFS($C40:$V40,$C$7:$V$7,Y$7)</f>
        <v>7360</v>
      </c>
      <c r="Z40" s="64">
        <f t="shared" si="40"/>
        <v>14122</v>
      </c>
      <c r="AA40" s="64">
        <f t="shared" si="40"/>
        <v>17568</v>
      </c>
      <c r="AB40" s="64">
        <f t="shared" si="40"/>
        <v>22797</v>
      </c>
      <c r="AC40" s="64">
        <f t="shared" si="40"/>
        <v>26720</v>
      </c>
      <c r="AD40" s="3"/>
      <c r="AE40" s="64"/>
      <c r="AF40" s="64"/>
    </row>
    <row r="41" spans="1:32" ht="12.75" hidden="1" outlineLevel="1" x14ac:dyDescent="0.2">
      <c r="A41" s="2" t="s">
        <v>52</v>
      </c>
      <c r="B41" s="3"/>
      <c r="C41" s="34">
        <v>4</v>
      </c>
      <c r="D41" s="34"/>
      <c r="E41" s="34">
        <v>3</v>
      </c>
      <c r="F41" s="34">
        <v>3</v>
      </c>
      <c r="G41" s="34">
        <v>2</v>
      </c>
      <c r="H41" s="34">
        <v>6</v>
      </c>
      <c r="I41" s="34">
        <v>5</v>
      </c>
      <c r="J41" s="34">
        <v>17</v>
      </c>
      <c r="K41" s="34">
        <v>77</v>
      </c>
      <c r="L41" s="34">
        <v>98</v>
      </c>
      <c r="M41" s="34">
        <v>650</v>
      </c>
      <c r="N41" s="34">
        <v>590</v>
      </c>
      <c r="O41" s="34">
        <v>609</v>
      </c>
      <c r="P41" s="34">
        <v>952</v>
      </c>
      <c r="Q41" s="34">
        <v>1608</v>
      </c>
      <c r="R41" s="34">
        <v>1238</v>
      </c>
      <c r="S41" s="34">
        <v>1078</v>
      </c>
      <c r="T41" s="34">
        <v>1085</v>
      </c>
      <c r="U41" s="34">
        <v>1093</v>
      </c>
      <c r="V41" s="34">
        <v>1188</v>
      </c>
      <c r="W41" s="34">
        <v>964</v>
      </c>
      <c r="X41" s="3"/>
      <c r="Y41" s="64">
        <f t="shared" ref="Y41:AC41" si="41">SUMIFS($C41:$V41,$C$7:$V$7,Y$7)</f>
        <v>10</v>
      </c>
      <c r="Z41" s="64">
        <f t="shared" si="41"/>
        <v>30</v>
      </c>
      <c r="AA41" s="64">
        <f t="shared" si="41"/>
        <v>1415</v>
      </c>
      <c r="AB41" s="64">
        <f t="shared" si="41"/>
        <v>4407</v>
      </c>
      <c r="AC41" s="64">
        <f t="shared" si="41"/>
        <v>4444</v>
      </c>
      <c r="AD41" s="3"/>
      <c r="AE41" s="64"/>
      <c r="AF41" s="64"/>
    </row>
    <row r="42" spans="1:32" ht="12.75" hidden="1" outlineLevel="1" x14ac:dyDescent="0.2">
      <c r="A42" s="2" t="s">
        <v>87</v>
      </c>
      <c r="B42" s="3"/>
      <c r="C42" s="34"/>
      <c r="D42" s="34"/>
      <c r="E42" s="34"/>
      <c r="F42" s="34">
        <v>53</v>
      </c>
      <c r="G42" s="34">
        <v>18</v>
      </c>
      <c r="H42" s="34"/>
      <c r="I42" s="34">
        <v>14</v>
      </c>
      <c r="J42" s="34">
        <v>41</v>
      </c>
      <c r="K42" s="34">
        <v>58</v>
      </c>
      <c r="L42" s="34">
        <v>2</v>
      </c>
      <c r="M42" s="34">
        <v>62</v>
      </c>
      <c r="N42" s="34">
        <v>36</v>
      </c>
      <c r="O42" s="34">
        <v>4</v>
      </c>
      <c r="P42" s="34">
        <v>76</v>
      </c>
      <c r="Q42" s="34">
        <v>91</v>
      </c>
      <c r="R42" s="34">
        <v>68</v>
      </c>
      <c r="S42" s="34">
        <v>151</v>
      </c>
      <c r="T42" s="34">
        <v>194</v>
      </c>
      <c r="U42" s="34">
        <v>83</v>
      </c>
      <c r="V42" s="34">
        <v>95</v>
      </c>
      <c r="W42" s="34">
        <v>60</v>
      </c>
      <c r="X42" s="3"/>
      <c r="Y42" s="64">
        <f t="shared" ref="Y42:AC42" si="42">SUMIFS($C42:$V42,$C$7:$V$7,Y$7)</f>
        <v>53</v>
      </c>
      <c r="Z42" s="64">
        <f t="shared" si="42"/>
        <v>73</v>
      </c>
      <c r="AA42" s="64">
        <f t="shared" si="42"/>
        <v>158</v>
      </c>
      <c r="AB42" s="64">
        <f t="shared" si="42"/>
        <v>239</v>
      </c>
      <c r="AC42" s="64">
        <f t="shared" si="42"/>
        <v>523</v>
      </c>
      <c r="AD42" s="3"/>
      <c r="AE42" s="64"/>
      <c r="AF42" s="64"/>
    </row>
    <row r="43" spans="1:32" ht="12.75" hidden="1" outlineLevel="1" x14ac:dyDescent="0.2">
      <c r="A43" s="21" t="s">
        <v>105</v>
      </c>
      <c r="B43" s="3"/>
      <c r="C43" s="43">
        <f t="shared" ref="C43:W43" si="43">C39-SUM(C40:C42)</f>
        <v>34748</v>
      </c>
      <c r="D43" s="43">
        <f t="shared" si="43"/>
        <v>30385</v>
      </c>
      <c r="E43" s="43">
        <f t="shared" si="43"/>
        <v>37506</v>
      </c>
      <c r="F43" s="43">
        <f t="shared" si="43"/>
        <v>35556</v>
      </c>
      <c r="G43" s="43">
        <f t="shared" si="43"/>
        <v>35573</v>
      </c>
      <c r="H43" s="43">
        <f t="shared" si="43"/>
        <v>35851</v>
      </c>
      <c r="I43" s="43">
        <f t="shared" si="43"/>
        <v>43038</v>
      </c>
      <c r="J43" s="43">
        <f t="shared" si="43"/>
        <v>45189</v>
      </c>
      <c r="K43" s="43">
        <f t="shared" si="43"/>
        <v>45830</v>
      </c>
      <c r="L43" s="43">
        <f t="shared" si="43"/>
        <v>55461</v>
      </c>
      <c r="M43" s="43">
        <f t="shared" si="43"/>
        <v>61242</v>
      </c>
      <c r="N43" s="43">
        <f t="shared" si="43"/>
        <v>71496</v>
      </c>
      <c r="O43" s="43">
        <f t="shared" si="43"/>
        <v>71692</v>
      </c>
      <c r="P43" s="43">
        <f t="shared" si="43"/>
        <v>91581</v>
      </c>
      <c r="Q43" s="43">
        <f t="shared" si="43"/>
        <v>108530</v>
      </c>
      <c r="R43" s="43">
        <f t="shared" si="43"/>
        <v>111905</v>
      </c>
      <c r="S43" s="43">
        <f t="shared" si="43"/>
        <v>126282</v>
      </c>
      <c r="T43" s="43">
        <f t="shared" si="43"/>
        <v>147309</v>
      </c>
      <c r="U43" s="43">
        <f t="shared" si="43"/>
        <v>142022</v>
      </c>
      <c r="V43" s="43">
        <f t="shared" si="43"/>
        <v>177532</v>
      </c>
      <c r="W43" s="43">
        <f t="shared" si="43"/>
        <v>187104</v>
      </c>
      <c r="X43" s="3"/>
      <c r="Y43" s="43">
        <f t="shared" ref="Y43:AC43" si="44">SUMIFS($C43:$V43,$C$7:$V$7,Y$7)</f>
        <v>138195</v>
      </c>
      <c r="Z43" s="43">
        <f t="shared" si="44"/>
        <v>159651</v>
      </c>
      <c r="AA43" s="43">
        <f t="shared" si="44"/>
        <v>234029</v>
      </c>
      <c r="AB43" s="43">
        <f t="shared" si="44"/>
        <v>383708</v>
      </c>
      <c r="AC43" s="43">
        <f t="shared" si="44"/>
        <v>593145</v>
      </c>
      <c r="AD43" s="9"/>
      <c r="AE43" s="43"/>
      <c r="AF43" s="43"/>
    </row>
    <row r="44" spans="1:32" ht="12.75" hidden="1" outlineLevel="1" x14ac:dyDescent="0.2">
      <c r="A44" s="21"/>
      <c r="B44" s="3"/>
      <c r="C44" s="75"/>
      <c r="D44" s="75"/>
      <c r="E44" s="75"/>
      <c r="F44" s="75"/>
      <c r="G44" s="75"/>
      <c r="H44" s="75"/>
      <c r="I44" s="75"/>
      <c r="J44" s="75"/>
      <c r="K44" s="75"/>
      <c r="L44" s="75"/>
      <c r="M44" s="75"/>
      <c r="N44" s="75"/>
      <c r="O44" s="75"/>
      <c r="P44" s="75"/>
      <c r="Q44" s="75"/>
      <c r="R44" s="75"/>
      <c r="S44" s="75"/>
      <c r="T44" s="26"/>
      <c r="U44" s="26"/>
      <c r="V44" s="26"/>
      <c r="W44" s="26"/>
      <c r="X44" s="3"/>
      <c r="Y44" s="26"/>
      <c r="Z44" s="26"/>
      <c r="AA44" s="26"/>
      <c r="AB44" s="26"/>
      <c r="AC44" s="26"/>
      <c r="AD44" s="3"/>
      <c r="AE44" s="26"/>
      <c r="AF44" s="26"/>
    </row>
    <row r="45" spans="1:32" ht="12.75" hidden="1" outlineLevel="1" x14ac:dyDescent="0.2">
      <c r="A45" s="76" t="s">
        <v>113</v>
      </c>
      <c r="B45" s="64"/>
      <c r="C45" s="22">
        <f>'GAAP IS'!C29</f>
        <v>28119</v>
      </c>
      <c r="D45" s="22">
        <f>'GAAP IS'!D29</f>
        <v>31804</v>
      </c>
      <c r="E45" s="22">
        <f>'GAAP IS'!E29</f>
        <v>37820</v>
      </c>
      <c r="F45" s="22">
        <f>'GAAP IS'!F29</f>
        <v>45723</v>
      </c>
      <c r="G45" s="22">
        <f>'GAAP IS'!G29</f>
        <v>96107</v>
      </c>
      <c r="H45" s="22">
        <f>'GAAP IS'!H29</f>
        <v>50784</v>
      </c>
      <c r="I45" s="22">
        <f>'GAAP IS'!I29</f>
        <v>52075</v>
      </c>
      <c r="J45" s="22">
        <f>'GAAP IS'!J29</f>
        <v>53027</v>
      </c>
      <c r="K45" s="22">
        <f>'GAAP IS'!K29</f>
        <v>56935</v>
      </c>
      <c r="L45" s="22">
        <f>'GAAP IS'!L29</f>
        <v>62988</v>
      </c>
      <c r="M45" s="22">
        <f>'GAAP IS'!M29</f>
        <v>64312</v>
      </c>
      <c r="N45" s="22">
        <f>'GAAP IS'!N29</f>
        <v>66318</v>
      </c>
      <c r="O45" s="22">
        <f>'GAAP IS'!O29</f>
        <v>75501</v>
      </c>
      <c r="P45" s="22">
        <f>'GAAP IS'!P29</f>
        <v>82772</v>
      </c>
      <c r="Q45" s="22">
        <f>'GAAP IS'!Q29</f>
        <v>85527</v>
      </c>
      <c r="R45" s="22">
        <f>'GAAP IS'!R29</f>
        <v>95445</v>
      </c>
      <c r="S45" s="22">
        <f>'GAAP IS'!S29</f>
        <v>101598</v>
      </c>
      <c r="T45" s="22">
        <f>'GAAP IS'!T29</f>
        <v>100508</v>
      </c>
      <c r="U45" s="22">
        <f>'GAAP IS'!U29</f>
        <v>115980</v>
      </c>
      <c r="V45" s="22">
        <f>'GAAP IS'!V29</f>
        <v>118164</v>
      </c>
      <c r="W45" s="22">
        <f>'GAAP IS'!W29</f>
        <v>129495</v>
      </c>
      <c r="X45" s="22"/>
      <c r="Y45" s="22">
        <f t="shared" ref="Y45:AC45" si="45">SUMIFS($C45:$V45,$C$7:$V$7,Y$7)</f>
        <v>143466</v>
      </c>
      <c r="Z45" s="22">
        <f t="shared" si="45"/>
        <v>251993</v>
      </c>
      <c r="AA45" s="22">
        <f t="shared" si="45"/>
        <v>250553</v>
      </c>
      <c r="AB45" s="22">
        <f t="shared" si="45"/>
        <v>339245</v>
      </c>
      <c r="AC45" s="22">
        <f t="shared" si="45"/>
        <v>436250</v>
      </c>
      <c r="AD45" s="22"/>
      <c r="AE45" s="22"/>
      <c r="AF45" s="22"/>
    </row>
    <row r="46" spans="1:32" ht="12.75" hidden="1" outlineLevel="1" x14ac:dyDescent="0.2">
      <c r="A46" s="64" t="s">
        <v>49</v>
      </c>
      <c r="B46" s="64"/>
      <c r="C46" s="34">
        <v>3074</v>
      </c>
      <c r="D46" s="34">
        <v>3496</v>
      </c>
      <c r="E46" s="34">
        <v>5105</v>
      </c>
      <c r="F46" s="34">
        <v>8519</v>
      </c>
      <c r="G46" s="34">
        <v>6348</v>
      </c>
      <c r="H46" s="34">
        <v>9391</v>
      </c>
      <c r="I46" s="34">
        <v>9133</v>
      </c>
      <c r="J46" s="34">
        <v>8388</v>
      </c>
      <c r="K46" s="34">
        <v>8379</v>
      </c>
      <c r="L46" s="34">
        <v>10084</v>
      </c>
      <c r="M46" s="34">
        <v>10186</v>
      </c>
      <c r="N46" s="34">
        <v>11232</v>
      </c>
      <c r="O46" s="34">
        <v>11350</v>
      </c>
      <c r="P46" s="34">
        <v>12649</v>
      </c>
      <c r="Q46" s="34">
        <v>13262</v>
      </c>
      <c r="R46" s="34">
        <v>12125</v>
      </c>
      <c r="S46" s="34">
        <v>12216</v>
      </c>
      <c r="T46" s="34">
        <v>15460</v>
      </c>
      <c r="U46" s="34">
        <v>14798</v>
      </c>
      <c r="V46" s="34">
        <v>17674</v>
      </c>
      <c r="W46" s="53">
        <v>13420</v>
      </c>
      <c r="X46" s="3"/>
      <c r="Y46" s="64">
        <f t="shared" ref="Y46:AC46" si="46">SUMIFS($C46:$V46,$C$7:$V$7,Y$7)</f>
        <v>20194</v>
      </c>
      <c r="Z46" s="64">
        <f t="shared" si="46"/>
        <v>33260</v>
      </c>
      <c r="AA46" s="64">
        <f t="shared" si="46"/>
        <v>39881</v>
      </c>
      <c r="AB46" s="64">
        <f t="shared" si="46"/>
        <v>49386</v>
      </c>
      <c r="AC46" s="64">
        <f t="shared" si="46"/>
        <v>60148</v>
      </c>
      <c r="AD46" s="3"/>
      <c r="AE46" s="64"/>
      <c r="AF46" s="64"/>
    </row>
    <row r="47" spans="1:32" ht="12.75" hidden="1" outlineLevel="1" x14ac:dyDescent="0.2">
      <c r="A47" s="64" t="s">
        <v>52</v>
      </c>
      <c r="B47" s="64"/>
      <c r="C47" s="34">
        <v>1590</v>
      </c>
      <c r="D47" s="34">
        <v>1731</v>
      </c>
      <c r="E47" s="34">
        <v>1831</v>
      </c>
      <c r="F47" s="34">
        <v>2538</v>
      </c>
      <c r="G47" s="34">
        <v>2729</v>
      </c>
      <c r="H47" s="34">
        <v>3217</v>
      </c>
      <c r="I47" s="34">
        <v>3779</v>
      </c>
      <c r="J47" s="34">
        <v>3741</v>
      </c>
      <c r="K47" s="34">
        <v>3537</v>
      </c>
      <c r="L47" s="34">
        <v>3644</v>
      </c>
      <c r="M47" s="34">
        <v>2040</v>
      </c>
      <c r="N47" s="34">
        <v>2070</v>
      </c>
      <c r="O47" s="34">
        <v>2229</v>
      </c>
      <c r="P47" s="34">
        <v>2644</v>
      </c>
      <c r="Q47" s="34">
        <v>2482</v>
      </c>
      <c r="R47" s="34">
        <v>3360</v>
      </c>
      <c r="S47" s="34">
        <v>2931</v>
      </c>
      <c r="T47" s="34">
        <v>3016</v>
      </c>
      <c r="U47" s="34">
        <v>3055</v>
      </c>
      <c r="V47" s="34">
        <v>3167</v>
      </c>
      <c r="W47" s="34">
        <v>3445</v>
      </c>
      <c r="X47" s="3"/>
      <c r="Y47" s="64">
        <f t="shared" ref="Y47:AC47" si="47">SUMIFS($C47:$V47,$C$7:$V$7,Y$7)</f>
        <v>7690</v>
      </c>
      <c r="Z47" s="64">
        <f t="shared" si="47"/>
        <v>13466</v>
      </c>
      <c r="AA47" s="64">
        <f t="shared" si="47"/>
        <v>11291</v>
      </c>
      <c r="AB47" s="64">
        <f t="shared" si="47"/>
        <v>10715</v>
      </c>
      <c r="AC47" s="64">
        <f t="shared" si="47"/>
        <v>12169</v>
      </c>
      <c r="AD47" s="3"/>
      <c r="AE47" s="64"/>
      <c r="AF47" s="64"/>
    </row>
    <row r="48" spans="1:32" ht="12.75" hidden="1" outlineLevel="1" x14ac:dyDescent="0.2">
      <c r="A48" s="64" t="s">
        <v>54</v>
      </c>
      <c r="B48" s="64"/>
      <c r="C48" s="34"/>
      <c r="D48" s="34"/>
      <c r="E48" s="34"/>
      <c r="F48" s="34"/>
      <c r="G48" s="34">
        <v>50000</v>
      </c>
      <c r="H48" s="34">
        <v>-2000</v>
      </c>
      <c r="I48" s="34"/>
      <c r="J48" s="34"/>
      <c r="K48" s="34"/>
      <c r="L48" s="34"/>
      <c r="M48" s="34"/>
      <c r="N48" s="34"/>
      <c r="O48" s="34"/>
      <c r="P48" s="34"/>
      <c r="Q48" s="34"/>
      <c r="R48" s="34"/>
      <c r="S48" s="34"/>
      <c r="T48" s="34"/>
      <c r="U48" s="34"/>
      <c r="V48" s="34"/>
      <c r="W48" s="34"/>
      <c r="X48" s="3"/>
      <c r="Y48" s="64">
        <f t="shared" ref="Y48:AC48" si="48">SUMIFS($C48:$V48,$C$7:$V$7,Y$7)</f>
        <v>0</v>
      </c>
      <c r="Z48" s="64">
        <f t="shared" si="48"/>
        <v>48000</v>
      </c>
      <c r="AA48" s="64">
        <f t="shared" si="48"/>
        <v>0</v>
      </c>
      <c r="AB48" s="64">
        <f t="shared" si="48"/>
        <v>0</v>
      </c>
      <c r="AC48" s="64">
        <f t="shared" si="48"/>
        <v>0</v>
      </c>
      <c r="AD48" s="3"/>
      <c r="AE48" s="64"/>
      <c r="AF48" s="64"/>
    </row>
    <row r="49" spans="1:32" ht="12.75" hidden="1" outlineLevel="1" x14ac:dyDescent="0.2">
      <c r="A49" s="64" t="s">
        <v>87</v>
      </c>
      <c r="B49" s="64"/>
      <c r="C49" s="34">
        <v>240</v>
      </c>
      <c r="D49" s="34"/>
      <c r="E49" s="34"/>
      <c r="F49" s="34">
        <v>-23</v>
      </c>
      <c r="G49" s="34">
        <v>-56</v>
      </c>
      <c r="H49" s="34"/>
      <c r="I49" s="34">
        <v>-64</v>
      </c>
      <c r="J49" s="34">
        <v>-2</v>
      </c>
      <c r="K49" s="34">
        <v>-58</v>
      </c>
      <c r="L49" s="34"/>
      <c r="M49" s="34"/>
      <c r="N49" s="34"/>
      <c r="O49" s="34">
        <v>-102</v>
      </c>
      <c r="P49" s="34">
        <v>-3</v>
      </c>
      <c r="Q49" s="34">
        <v>3</v>
      </c>
      <c r="R49" s="34">
        <v>-87</v>
      </c>
      <c r="S49" s="34">
        <v>-61</v>
      </c>
      <c r="T49" s="34">
        <v>87</v>
      </c>
      <c r="U49" s="34">
        <v>45</v>
      </c>
      <c r="V49" s="34">
        <v>106</v>
      </c>
      <c r="W49" s="34"/>
      <c r="X49" s="3"/>
      <c r="Y49" s="64">
        <f t="shared" ref="Y49:AC49" si="49">SUMIFS($C49:$V49,$C$7:$V$7,Y$7)</f>
        <v>217</v>
      </c>
      <c r="Z49" s="64">
        <f t="shared" si="49"/>
        <v>-122</v>
      </c>
      <c r="AA49" s="64">
        <f t="shared" si="49"/>
        <v>-58</v>
      </c>
      <c r="AB49" s="64">
        <f t="shared" si="49"/>
        <v>-189</v>
      </c>
      <c r="AC49" s="64">
        <f t="shared" si="49"/>
        <v>177</v>
      </c>
      <c r="AD49" s="3"/>
      <c r="AE49" s="64"/>
      <c r="AF49" s="64"/>
    </row>
    <row r="50" spans="1:32" ht="12.75" hidden="1" outlineLevel="1" x14ac:dyDescent="0.2">
      <c r="A50" s="64" t="s">
        <v>132</v>
      </c>
      <c r="B50" s="64"/>
      <c r="C50" s="34"/>
      <c r="D50" s="34"/>
      <c r="E50" s="34"/>
      <c r="F50" s="34"/>
      <c r="G50" s="34"/>
      <c r="H50" s="34"/>
      <c r="I50" s="34"/>
      <c r="J50" s="34"/>
      <c r="K50" s="34"/>
      <c r="L50" s="34"/>
      <c r="M50" s="34"/>
      <c r="N50" s="34"/>
      <c r="O50" s="34"/>
      <c r="P50" s="34">
        <v>4363</v>
      </c>
      <c r="Q50" s="34">
        <v>345</v>
      </c>
      <c r="R50" s="34"/>
      <c r="S50" s="34">
        <v>782</v>
      </c>
      <c r="T50" s="34">
        <v>6133</v>
      </c>
      <c r="U50" s="34">
        <v>1564</v>
      </c>
      <c r="V50" s="34">
        <v>1260</v>
      </c>
      <c r="W50" s="53">
        <v>1524</v>
      </c>
      <c r="X50" s="3"/>
      <c r="Y50" s="64">
        <f t="shared" ref="Y50:AC50" si="50">SUMIFS($C50:$V50,$C$7:$V$7,Y$7)</f>
        <v>0</v>
      </c>
      <c r="Z50" s="64">
        <f t="shared" si="50"/>
        <v>0</v>
      </c>
      <c r="AA50" s="64">
        <f t="shared" si="50"/>
        <v>0</v>
      </c>
      <c r="AB50" s="64">
        <f t="shared" si="50"/>
        <v>4708</v>
      </c>
      <c r="AC50" s="64">
        <f t="shared" si="50"/>
        <v>9739</v>
      </c>
      <c r="AD50" s="3"/>
      <c r="AE50" s="64"/>
      <c r="AF50" s="64"/>
    </row>
    <row r="51" spans="1:32" ht="12.75" hidden="1" outlineLevel="1" x14ac:dyDescent="0.2">
      <c r="A51" s="21" t="s">
        <v>134</v>
      </c>
      <c r="B51" s="3"/>
      <c r="C51" s="43">
        <f t="shared" ref="C51:W51" si="51">C45-SUM(C46:C50)</f>
        <v>23215</v>
      </c>
      <c r="D51" s="43">
        <f t="shared" si="51"/>
        <v>26577</v>
      </c>
      <c r="E51" s="43">
        <f t="shared" si="51"/>
        <v>30884</v>
      </c>
      <c r="F51" s="43">
        <f t="shared" si="51"/>
        <v>34689</v>
      </c>
      <c r="G51" s="43">
        <f t="shared" si="51"/>
        <v>37086</v>
      </c>
      <c r="H51" s="43">
        <f t="shared" si="51"/>
        <v>40176</v>
      </c>
      <c r="I51" s="43">
        <f t="shared" si="51"/>
        <v>39227</v>
      </c>
      <c r="J51" s="43">
        <f t="shared" si="51"/>
        <v>40900</v>
      </c>
      <c r="K51" s="43">
        <f t="shared" si="51"/>
        <v>45077</v>
      </c>
      <c r="L51" s="43">
        <f t="shared" si="51"/>
        <v>49260</v>
      </c>
      <c r="M51" s="43">
        <f t="shared" si="51"/>
        <v>52086</v>
      </c>
      <c r="N51" s="43">
        <f t="shared" si="51"/>
        <v>53016</v>
      </c>
      <c r="O51" s="43">
        <f t="shared" si="51"/>
        <v>62024</v>
      </c>
      <c r="P51" s="43">
        <f t="shared" si="51"/>
        <v>63119</v>
      </c>
      <c r="Q51" s="43">
        <f t="shared" si="51"/>
        <v>69435</v>
      </c>
      <c r="R51" s="43">
        <f t="shared" si="51"/>
        <v>80047</v>
      </c>
      <c r="S51" s="43">
        <f t="shared" si="51"/>
        <v>85730</v>
      </c>
      <c r="T51" s="43">
        <f t="shared" si="51"/>
        <v>75812</v>
      </c>
      <c r="U51" s="43">
        <f t="shared" si="51"/>
        <v>96518</v>
      </c>
      <c r="V51" s="43">
        <f t="shared" si="51"/>
        <v>95957</v>
      </c>
      <c r="W51" s="43">
        <f t="shared" si="51"/>
        <v>111106</v>
      </c>
      <c r="X51" s="3"/>
      <c r="Y51" s="43">
        <f t="shared" ref="Y51:AC51" si="52">SUMIFS($C51:$V51,$C$7:$V$7,Y$7)</f>
        <v>115365</v>
      </c>
      <c r="Z51" s="43">
        <f t="shared" si="52"/>
        <v>157389</v>
      </c>
      <c r="AA51" s="43">
        <f t="shared" si="52"/>
        <v>199439</v>
      </c>
      <c r="AB51" s="43">
        <f t="shared" si="52"/>
        <v>274625</v>
      </c>
      <c r="AC51" s="43">
        <f t="shared" si="52"/>
        <v>354017</v>
      </c>
      <c r="AD51" s="3"/>
      <c r="AE51" s="43"/>
      <c r="AF51" s="43"/>
    </row>
    <row r="52" spans="1:32" ht="12.75" hidden="1" outlineLevel="1" x14ac:dyDescent="0.2">
      <c r="A52" s="21"/>
      <c r="B52" s="3"/>
      <c r="C52" s="3"/>
      <c r="D52" s="3"/>
      <c r="E52" s="3"/>
      <c r="F52" s="3"/>
      <c r="G52" s="3"/>
      <c r="H52" s="3"/>
      <c r="I52" s="3"/>
      <c r="J52" s="3"/>
      <c r="K52" s="3"/>
      <c r="L52" s="3"/>
      <c r="M52" s="3"/>
      <c r="N52" s="3"/>
      <c r="O52" s="3"/>
      <c r="P52" s="3"/>
      <c r="Q52" s="3"/>
      <c r="R52" s="3"/>
      <c r="S52" s="3"/>
      <c r="T52" s="26"/>
      <c r="U52" s="26"/>
      <c r="V52" s="26"/>
      <c r="W52" s="26"/>
      <c r="X52" s="3"/>
      <c r="Y52" s="3"/>
      <c r="Z52" s="3"/>
      <c r="AA52" s="3"/>
      <c r="AB52" s="3"/>
      <c r="AC52" s="3"/>
      <c r="AD52" s="3"/>
      <c r="AE52" s="3"/>
      <c r="AF52" s="3"/>
    </row>
    <row r="53" spans="1:32" ht="12.75" hidden="1" outlineLevel="1" x14ac:dyDescent="0.2">
      <c r="A53" s="21" t="s">
        <v>136</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2.75" hidden="1" outlineLevel="1" x14ac:dyDescent="0.2">
      <c r="A54" s="2" t="s">
        <v>137</v>
      </c>
      <c r="B54" s="3"/>
      <c r="C54" s="22">
        <f>'GAAP IS'!C42</f>
        <v>-47978</v>
      </c>
      <c r="D54" s="22">
        <f>'GAAP IS'!D42</f>
        <v>-29620</v>
      </c>
      <c r="E54" s="22">
        <f>'GAAP IS'!E42</f>
        <v>-53930</v>
      </c>
      <c r="F54" s="22">
        <f>'GAAP IS'!F42</f>
        <v>-48289</v>
      </c>
      <c r="G54" s="22">
        <f>'GAAP IS'!G42</f>
        <v>-96755</v>
      </c>
      <c r="H54" s="22">
        <f>'GAAP IS'!H42</f>
        <v>-27345</v>
      </c>
      <c r="I54" s="22">
        <f>'GAAP IS'!I42</f>
        <v>-32323</v>
      </c>
      <c r="J54" s="22">
        <f>'GAAP IS'!J42</f>
        <v>-15167</v>
      </c>
      <c r="K54" s="22">
        <f>'GAAP IS'!K42</f>
        <v>-15090</v>
      </c>
      <c r="L54" s="22">
        <f>'GAAP IS'!L42</f>
        <v>-15962</v>
      </c>
      <c r="M54" s="22">
        <f>'GAAP IS'!M42</f>
        <v>-16098</v>
      </c>
      <c r="N54" s="22">
        <f>'GAAP IS'!N42</f>
        <v>-15663</v>
      </c>
      <c r="O54" s="22">
        <f>'GAAP IS'!O42</f>
        <v>-23986</v>
      </c>
      <c r="P54" s="22">
        <f>'GAAP IS'!P42</f>
        <v>-5906</v>
      </c>
      <c r="Q54" s="22">
        <f>'GAAP IS'!Q42</f>
        <v>19643</v>
      </c>
      <c r="R54" s="22">
        <f>'GAAP IS'!R42</f>
        <v>-28204</v>
      </c>
      <c r="S54" s="22">
        <f>'GAAP IS'!S42</f>
        <v>-38151</v>
      </c>
      <c r="T54" s="22">
        <f>'GAAP IS'!T42</f>
        <v>-6740</v>
      </c>
      <c r="U54" s="22">
        <f>'GAAP IS'!U42</f>
        <v>29397</v>
      </c>
      <c r="V54" s="22">
        <f>'GAAP IS'!V42</f>
        <v>390940</v>
      </c>
      <c r="W54" s="22">
        <f>'GAAP IS'!W42</f>
        <v>-105891</v>
      </c>
      <c r="X54" s="22"/>
      <c r="Y54" s="22">
        <f t="shared" ref="Y54:AC54" si="53">SUMIFS($C54:$V54,$C$7:$V$7,Y$7)</f>
        <v>-179817</v>
      </c>
      <c r="Z54" s="22">
        <f t="shared" si="53"/>
        <v>-171590</v>
      </c>
      <c r="AA54" s="22">
        <f t="shared" si="53"/>
        <v>-62813</v>
      </c>
      <c r="AB54" s="22">
        <f t="shared" si="53"/>
        <v>-38453</v>
      </c>
      <c r="AC54" s="22">
        <f t="shared" si="53"/>
        <v>375446</v>
      </c>
      <c r="AD54" s="22"/>
      <c r="AE54" s="22"/>
      <c r="AF54" s="22"/>
    </row>
    <row r="55" spans="1:32" ht="12.75" hidden="1" outlineLevel="1" x14ac:dyDescent="0.2">
      <c r="A55" s="2" t="s">
        <v>27</v>
      </c>
      <c r="B55" s="3"/>
      <c r="C55" s="34">
        <v>-29237</v>
      </c>
      <c r="D55" s="34">
        <v>-33630</v>
      </c>
      <c r="E55" s="34">
        <v>-32332</v>
      </c>
      <c r="F55" s="34">
        <v>-47084</v>
      </c>
      <c r="G55" s="34">
        <v>-38838</v>
      </c>
      <c r="H55" s="34">
        <v>-32867</v>
      </c>
      <c r="I55" s="34">
        <v>-7164</v>
      </c>
      <c r="J55" s="34">
        <v>-34</v>
      </c>
      <c r="K55" s="34"/>
      <c r="L55" s="34"/>
      <c r="M55" s="34"/>
      <c r="N55" s="34"/>
      <c r="O55" s="34"/>
      <c r="P55" s="34"/>
      <c r="Q55" s="34"/>
      <c r="R55" s="34"/>
      <c r="S55" s="34"/>
      <c r="T55" s="34"/>
      <c r="U55" s="34"/>
      <c r="V55" s="34"/>
      <c r="W55" s="34"/>
      <c r="X55" s="3"/>
      <c r="Y55" s="64">
        <f t="shared" ref="Y55:Z55" si="54">SUMIFS($C55:$V55,$C$7:$V$7,Y$7)</f>
        <v>-142283</v>
      </c>
      <c r="Z55" s="64">
        <f t="shared" si="54"/>
        <v>-78903</v>
      </c>
      <c r="AA55" s="64"/>
      <c r="AB55" s="64"/>
      <c r="AC55" s="64"/>
      <c r="AD55" s="3"/>
      <c r="AE55" s="64"/>
      <c r="AF55" s="64"/>
    </row>
    <row r="56" spans="1:32" ht="12.75" hidden="1" outlineLevel="1" x14ac:dyDescent="0.2">
      <c r="A56" s="2" t="s">
        <v>55</v>
      </c>
      <c r="B56" s="3"/>
      <c r="C56" s="34">
        <v>36211</v>
      </c>
      <c r="D56" s="34">
        <v>40921</v>
      </c>
      <c r="E56" s="34">
        <v>41410</v>
      </c>
      <c r="F56" s="34">
        <v>46896</v>
      </c>
      <c r="G56" s="34">
        <v>36610</v>
      </c>
      <c r="H56" s="34">
        <v>28672</v>
      </c>
      <c r="I56" s="34">
        <v>4528</v>
      </c>
      <c r="J56" s="34">
        <v>-49</v>
      </c>
      <c r="K56" s="34"/>
      <c r="L56" s="34"/>
      <c r="M56" s="34"/>
      <c r="N56" s="34"/>
      <c r="O56" s="34"/>
      <c r="P56" s="34"/>
      <c r="Q56" s="34"/>
      <c r="R56" s="34"/>
      <c r="S56" s="34"/>
      <c r="T56" s="34"/>
      <c r="U56" s="34"/>
      <c r="V56" s="34"/>
      <c r="W56" s="34"/>
      <c r="X56" s="3"/>
      <c r="Y56" s="64">
        <f t="shared" ref="Y56:Z56" si="55">SUMIFS($C56:$V56,$C$7:$V$7,Y$7)</f>
        <v>165438</v>
      </c>
      <c r="Z56" s="64">
        <f t="shared" si="55"/>
        <v>69761</v>
      </c>
      <c r="AA56" s="64"/>
      <c r="AB56" s="64"/>
      <c r="AC56" s="64"/>
      <c r="AD56" s="3"/>
      <c r="AE56" s="64"/>
      <c r="AF56" s="64"/>
    </row>
    <row r="57" spans="1:32" ht="12.75" hidden="1" outlineLevel="1" x14ac:dyDescent="0.2">
      <c r="A57" s="2" t="s">
        <v>142</v>
      </c>
      <c r="B57" s="3"/>
      <c r="C57" s="34">
        <v>13461</v>
      </c>
      <c r="D57" s="34">
        <v>15232</v>
      </c>
      <c r="E57" s="34">
        <v>20793</v>
      </c>
      <c r="F57" s="34">
        <v>32806</v>
      </c>
      <c r="G57" s="34">
        <v>31198</v>
      </c>
      <c r="H57" s="34">
        <v>36922</v>
      </c>
      <c r="I57" s="34">
        <v>36779</v>
      </c>
      <c r="J57" s="34">
        <v>33887</v>
      </c>
      <c r="K57" s="34">
        <v>31670</v>
      </c>
      <c r="L57" s="34">
        <v>39593</v>
      </c>
      <c r="M57" s="34">
        <v>40048</v>
      </c>
      <c r="N57" s="34">
        <v>44525</v>
      </c>
      <c r="O57" s="34">
        <v>46824</v>
      </c>
      <c r="P57" s="34">
        <v>52119</v>
      </c>
      <c r="Q57" s="34">
        <v>58913</v>
      </c>
      <c r="R57" s="34">
        <v>59025</v>
      </c>
      <c r="S57" s="34">
        <v>61088</v>
      </c>
      <c r="T57" s="34">
        <v>79466</v>
      </c>
      <c r="U57" s="34">
        <v>77426</v>
      </c>
      <c r="V57" s="34">
        <v>79883</v>
      </c>
      <c r="W57" s="34">
        <v>77303</v>
      </c>
      <c r="X57" s="3"/>
      <c r="Y57" s="64">
        <f t="shared" ref="Y57:AC57" si="56">SUMIFS($C57:$V57,$C$7:$V$7,Y$7)</f>
        <v>82292</v>
      </c>
      <c r="Z57" s="64">
        <f t="shared" si="56"/>
        <v>138786</v>
      </c>
      <c r="AA57" s="64">
        <f t="shared" si="56"/>
        <v>155836</v>
      </c>
      <c r="AB57" s="64">
        <f t="shared" si="56"/>
        <v>216881</v>
      </c>
      <c r="AC57" s="64">
        <f t="shared" si="56"/>
        <v>297863</v>
      </c>
      <c r="AD57" s="3"/>
      <c r="AE57" s="64"/>
      <c r="AF57" s="64"/>
    </row>
    <row r="58" spans="1:32" ht="12.75" hidden="1" outlineLevel="1" x14ac:dyDescent="0.2">
      <c r="A58" s="2" t="s">
        <v>52</v>
      </c>
      <c r="B58" s="3"/>
      <c r="C58" s="34">
        <v>5546</v>
      </c>
      <c r="D58" s="34">
        <v>6410</v>
      </c>
      <c r="E58" s="34">
        <v>6570</v>
      </c>
      <c r="F58" s="34">
        <v>9100</v>
      </c>
      <c r="G58" s="34">
        <v>9118</v>
      </c>
      <c r="H58" s="34">
        <v>9018</v>
      </c>
      <c r="I58" s="34">
        <v>9681</v>
      </c>
      <c r="J58" s="34">
        <v>9928</v>
      </c>
      <c r="K58" s="34">
        <v>9437</v>
      </c>
      <c r="L58" s="34">
        <v>9125</v>
      </c>
      <c r="M58" s="34">
        <v>9085</v>
      </c>
      <c r="N58" s="34">
        <v>9632</v>
      </c>
      <c r="O58" s="34">
        <v>10160</v>
      </c>
      <c r="P58" s="34">
        <v>12328</v>
      </c>
      <c r="Q58" s="34">
        <v>15835</v>
      </c>
      <c r="R58" s="34">
        <v>22638</v>
      </c>
      <c r="S58" s="34">
        <v>18971</v>
      </c>
      <c r="T58" s="34">
        <v>18783</v>
      </c>
      <c r="U58" s="34">
        <v>19125</v>
      </c>
      <c r="V58" s="34">
        <v>18719</v>
      </c>
      <c r="W58" s="34">
        <v>20061</v>
      </c>
      <c r="X58" s="3"/>
      <c r="Y58" s="64">
        <f t="shared" ref="Y58:AC58" si="57">SUMIFS($C58:$V58,$C$7:$V$7,Y$7)</f>
        <v>27626</v>
      </c>
      <c r="Z58" s="64">
        <f t="shared" si="57"/>
        <v>37745</v>
      </c>
      <c r="AA58" s="64">
        <f t="shared" si="57"/>
        <v>37279</v>
      </c>
      <c r="AB58" s="64">
        <f t="shared" si="57"/>
        <v>60961</v>
      </c>
      <c r="AC58" s="64">
        <f t="shared" si="57"/>
        <v>75598</v>
      </c>
      <c r="AD58" s="3"/>
      <c r="AE58" s="64"/>
      <c r="AF58" s="64"/>
    </row>
    <row r="59" spans="1:32" ht="12.75" hidden="1" outlineLevel="1" x14ac:dyDescent="0.2">
      <c r="A59" s="2" t="s">
        <v>54</v>
      </c>
      <c r="B59" s="3"/>
      <c r="C59" s="34"/>
      <c r="D59" s="34"/>
      <c r="E59" s="34"/>
      <c r="F59" s="34"/>
      <c r="G59" s="34">
        <v>50000</v>
      </c>
      <c r="H59" s="34">
        <v>-2000</v>
      </c>
      <c r="I59" s="34"/>
      <c r="J59" s="34"/>
      <c r="K59" s="34"/>
      <c r="L59" s="34"/>
      <c r="M59" s="34"/>
      <c r="N59" s="34"/>
      <c r="O59" s="34"/>
      <c r="P59" s="34"/>
      <c r="Q59" s="34"/>
      <c r="R59" s="34"/>
      <c r="S59" s="34"/>
      <c r="T59" s="34"/>
      <c r="U59" s="34"/>
      <c r="V59" s="34"/>
      <c r="W59" s="34"/>
      <c r="X59" s="3"/>
      <c r="Y59" s="64"/>
      <c r="Z59" s="64">
        <f>SUMIFS($C59:$V59,$C$7:$V$7,Z$7)</f>
        <v>48000</v>
      </c>
      <c r="AA59" s="64"/>
      <c r="AB59" s="64"/>
      <c r="AC59" s="64"/>
      <c r="AD59" s="3"/>
      <c r="AE59" s="64"/>
      <c r="AF59" s="64"/>
    </row>
    <row r="60" spans="1:32" ht="12.75" hidden="1" outlineLevel="1" x14ac:dyDescent="0.2">
      <c r="A60" s="2" t="s">
        <v>146</v>
      </c>
      <c r="B60" s="3"/>
      <c r="C60" s="34">
        <v>414</v>
      </c>
      <c r="D60" s="34">
        <v>444</v>
      </c>
      <c r="E60" s="34">
        <v>137</v>
      </c>
      <c r="F60" s="34">
        <v>168</v>
      </c>
      <c r="G60" s="34">
        <v>69</v>
      </c>
      <c r="H60" s="34">
        <v>-129</v>
      </c>
      <c r="I60" s="34">
        <v>-183</v>
      </c>
      <c r="J60" s="34">
        <v>-290</v>
      </c>
      <c r="K60" s="34">
        <v>996</v>
      </c>
      <c r="L60" s="34">
        <v>3494</v>
      </c>
      <c r="M60" s="34">
        <v>3080</v>
      </c>
      <c r="N60" s="34">
        <v>2483</v>
      </c>
      <c r="O60" s="34">
        <v>2112</v>
      </c>
      <c r="P60" s="34">
        <v>3470</v>
      </c>
      <c r="Q60" s="34">
        <v>7224</v>
      </c>
      <c r="R60" s="34">
        <v>5176</v>
      </c>
      <c r="S60" s="34">
        <v>4681</v>
      </c>
      <c r="T60" s="34">
        <v>5143</v>
      </c>
      <c r="U60" s="34">
        <v>5632</v>
      </c>
      <c r="V60" s="34">
        <v>6060</v>
      </c>
      <c r="W60" s="34">
        <v>9206</v>
      </c>
      <c r="X60" s="3"/>
      <c r="Y60" s="64">
        <f t="shared" ref="Y60:AC60" si="58">SUMIFS($C60:$V60,$C$7:$V$7,Y$7)</f>
        <v>1163</v>
      </c>
      <c r="Z60" s="64">
        <f t="shared" si="58"/>
        <v>-533</v>
      </c>
      <c r="AA60" s="64">
        <f t="shared" si="58"/>
        <v>10053</v>
      </c>
      <c r="AB60" s="64">
        <f t="shared" si="58"/>
        <v>17982</v>
      </c>
      <c r="AC60" s="64">
        <f t="shared" si="58"/>
        <v>21516</v>
      </c>
      <c r="AD60" s="3"/>
      <c r="AE60" s="64"/>
      <c r="AF60" s="64"/>
    </row>
    <row r="61" spans="1:32" ht="12.75" hidden="1" outlineLevel="1" x14ac:dyDescent="0.2">
      <c r="A61" s="2" t="s">
        <v>147</v>
      </c>
      <c r="B61" s="3"/>
      <c r="C61" s="34">
        <v>796</v>
      </c>
      <c r="D61" s="34">
        <v>-50</v>
      </c>
      <c r="E61" s="34">
        <v>644</v>
      </c>
      <c r="F61" s="34">
        <v>-940</v>
      </c>
      <c r="G61" s="34">
        <v>-786</v>
      </c>
      <c r="H61" s="34">
        <v>-198</v>
      </c>
      <c r="I61" s="34">
        <v>294</v>
      </c>
      <c r="J61" s="34">
        <v>443</v>
      </c>
      <c r="K61" s="34">
        <v>-497</v>
      </c>
      <c r="L61" s="34">
        <v>-228</v>
      </c>
      <c r="M61" s="34">
        <v>-1226</v>
      </c>
      <c r="N61" s="34">
        <v>356</v>
      </c>
      <c r="O61" s="34">
        <v>707</v>
      </c>
      <c r="P61" s="34">
        <v>-815</v>
      </c>
      <c r="Q61" s="34">
        <v>-37800</v>
      </c>
      <c r="R61" s="34">
        <v>19439</v>
      </c>
      <c r="S61" s="34">
        <v>11299</v>
      </c>
      <c r="T61" s="34">
        <v>1230</v>
      </c>
      <c r="U61" s="34">
        <v>-5541</v>
      </c>
      <c r="V61" s="34">
        <v>-6715</v>
      </c>
      <c r="W61" s="53">
        <v>5862</v>
      </c>
      <c r="X61" s="3"/>
      <c r="Y61" s="64">
        <f t="shared" ref="Y61:AC61" si="59">SUMIFS($C61:$V61,$C$7:$V$7,Y$7)</f>
        <v>450</v>
      </c>
      <c r="Z61" s="64">
        <f t="shared" si="59"/>
        <v>-247</v>
      </c>
      <c r="AA61" s="64">
        <f t="shared" si="59"/>
        <v>-1595</v>
      </c>
      <c r="AB61" s="64">
        <f t="shared" si="59"/>
        <v>-18469</v>
      </c>
      <c r="AC61" s="64">
        <f t="shared" si="59"/>
        <v>273</v>
      </c>
      <c r="AD61" s="3"/>
      <c r="AE61" s="64"/>
      <c r="AF61" s="64"/>
    </row>
    <row r="62" spans="1:32" ht="12.75" hidden="1" outlineLevel="1" x14ac:dyDescent="0.2">
      <c r="A62" s="2" t="s">
        <v>148</v>
      </c>
      <c r="B62" s="3"/>
      <c r="C62" s="34">
        <v>418</v>
      </c>
      <c r="D62" s="34">
        <v>1152</v>
      </c>
      <c r="E62" s="34">
        <v>932</v>
      </c>
      <c r="F62" s="34">
        <v>1244</v>
      </c>
      <c r="G62" s="34">
        <v>339</v>
      </c>
      <c r="H62" s="34">
        <v>312</v>
      </c>
      <c r="I62" s="34">
        <v>230</v>
      </c>
      <c r="J62" s="34">
        <v>1036</v>
      </c>
      <c r="K62" s="34">
        <v>509</v>
      </c>
      <c r="L62" s="34">
        <v>472</v>
      </c>
      <c r="M62" s="34">
        <v>-647</v>
      </c>
      <c r="N62" s="34">
        <v>-185</v>
      </c>
      <c r="O62" s="34">
        <v>175</v>
      </c>
      <c r="P62" s="34">
        <v>604</v>
      </c>
      <c r="Q62" s="34">
        <v>1066</v>
      </c>
      <c r="R62" s="34">
        <v>481</v>
      </c>
      <c r="S62" s="34">
        <v>129</v>
      </c>
      <c r="T62" s="34">
        <v>-476</v>
      </c>
      <c r="U62" s="34">
        <v>2606</v>
      </c>
      <c r="V62" s="34">
        <v>508</v>
      </c>
      <c r="W62" s="34">
        <v>535</v>
      </c>
      <c r="X62" s="3"/>
      <c r="Y62" s="64">
        <f t="shared" ref="Y62:AC62" si="60">SUMIFS($C62:$V62,$C$7:$V$7,Y$7)</f>
        <v>3746</v>
      </c>
      <c r="Z62" s="64">
        <f t="shared" si="60"/>
        <v>1917</v>
      </c>
      <c r="AA62" s="64">
        <f t="shared" si="60"/>
        <v>149</v>
      </c>
      <c r="AB62" s="64">
        <f t="shared" si="60"/>
        <v>2326</v>
      </c>
      <c r="AC62" s="64">
        <f t="shared" si="60"/>
        <v>2767</v>
      </c>
      <c r="AD62" s="3"/>
      <c r="AE62" s="64"/>
      <c r="AF62" s="64"/>
    </row>
    <row r="63" spans="1:32" ht="12.75" hidden="1" outlineLevel="1" x14ac:dyDescent="0.2">
      <c r="A63" s="2" t="s">
        <v>57</v>
      </c>
      <c r="B63" s="3"/>
      <c r="C63" s="34">
        <v>240</v>
      </c>
      <c r="D63" s="34"/>
      <c r="E63" s="34"/>
      <c r="F63" s="34">
        <v>30</v>
      </c>
      <c r="G63" s="34">
        <v>-38</v>
      </c>
      <c r="H63" s="34">
        <v>169</v>
      </c>
      <c r="I63" s="34">
        <v>-219</v>
      </c>
      <c r="J63" s="34">
        <v>39</v>
      </c>
      <c r="K63" s="34"/>
      <c r="L63" s="34">
        <v>2</v>
      </c>
      <c r="M63" s="34">
        <v>62</v>
      </c>
      <c r="N63" s="34">
        <v>36</v>
      </c>
      <c r="O63" s="34">
        <v>-98</v>
      </c>
      <c r="P63" s="34">
        <v>73</v>
      </c>
      <c r="Q63" s="34">
        <v>806</v>
      </c>
      <c r="R63" s="34">
        <v>-1005</v>
      </c>
      <c r="S63" s="34">
        <v>19</v>
      </c>
      <c r="T63" s="34">
        <v>281</v>
      </c>
      <c r="U63" s="34">
        <v>128</v>
      </c>
      <c r="V63" s="34">
        <v>580</v>
      </c>
      <c r="W63" s="34">
        <v>218</v>
      </c>
      <c r="X63" s="3"/>
      <c r="Y63" s="64">
        <f t="shared" ref="Y63:AC63" si="61">SUMIFS($C63:$V63,$C$7:$V$7,Y$7)</f>
        <v>270</v>
      </c>
      <c r="Z63" s="64">
        <f t="shared" si="61"/>
        <v>-49</v>
      </c>
      <c r="AA63" s="64">
        <f t="shared" si="61"/>
        <v>100</v>
      </c>
      <c r="AB63" s="64">
        <f t="shared" si="61"/>
        <v>-224</v>
      </c>
      <c r="AC63" s="64">
        <f t="shared" si="61"/>
        <v>1008</v>
      </c>
      <c r="AD63" s="3"/>
      <c r="AE63" s="64"/>
      <c r="AF63" s="64"/>
    </row>
    <row r="64" spans="1:32" ht="12.75" hidden="1" outlineLevel="1" x14ac:dyDescent="0.2">
      <c r="A64" s="2" t="s">
        <v>149</v>
      </c>
      <c r="B64" s="3"/>
      <c r="C64" s="34"/>
      <c r="D64" s="34"/>
      <c r="E64" s="34"/>
      <c r="F64" s="34"/>
      <c r="G64" s="34"/>
      <c r="H64" s="34"/>
      <c r="I64" s="34"/>
      <c r="J64" s="34"/>
      <c r="K64" s="34"/>
      <c r="L64" s="34"/>
      <c r="M64" s="34"/>
      <c r="N64" s="34"/>
      <c r="O64" s="34"/>
      <c r="P64" s="34"/>
      <c r="Q64" s="34"/>
      <c r="R64" s="34"/>
      <c r="S64" s="34"/>
      <c r="T64" s="34"/>
      <c r="U64" s="34"/>
      <c r="V64" s="34">
        <v>-373445</v>
      </c>
      <c r="W64" s="34"/>
      <c r="X64" s="3"/>
      <c r="Y64" s="64"/>
      <c r="Z64" s="64"/>
      <c r="AA64" s="64"/>
      <c r="AB64" s="64"/>
      <c r="AC64" s="64"/>
      <c r="AD64" s="3"/>
      <c r="AE64" s="64"/>
      <c r="AF64" s="64"/>
    </row>
    <row r="65" spans="1:32" ht="12.75" hidden="1" outlineLevel="1" x14ac:dyDescent="0.2">
      <c r="A65" s="2" t="s">
        <v>150</v>
      </c>
      <c r="B65" s="3"/>
      <c r="C65" s="34"/>
      <c r="D65" s="34"/>
      <c r="E65" s="34"/>
      <c r="F65" s="34"/>
      <c r="G65" s="34"/>
      <c r="H65" s="34"/>
      <c r="I65" s="34"/>
      <c r="J65" s="34"/>
      <c r="K65" s="34"/>
      <c r="L65" s="34"/>
      <c r="M65" s="34"/>
      <c r="N65" s="34"/>
      <c r="O65" s="34"/>
      <c r="P65" s="34"/>
      <c r="Q65" s="34"/>
      <c r="R65" s="34"/>
      <c r="S65" s="34"/>
      <c r="T65" s="34"/>
      <c r="U65" s="34"/>
      <c r="V65" s="34"/>
      <c r="W65" s="34"/>
      <c r="X65" s="3"/>
      <c r="Y65" s="64"/>
      <c r="Z65" s="64"/>
      <c r="AA65" s="64"/>
      <c r="AB65" s="64"/>
      <c r="AC65" s="64"/>
      <c r="AD65" s="3"/>
      <c r="AE65" s="64"/>
      <c r="AF65" s="64"/>
    </row>
    <row r="66" spans="1:32" ht="12.75" hidden="1" outlineLevel="1" x14ac:dyDescent="0.2">
      <c r="A66" s="2" t="s">
        <v>132</v>
      </c>
      <c r="B66" s="3"/>
      <c r="C66" s="34"/>
      <c r="D66" s="34"/>
      <c r="E66" s="34"/>
      <c r="F66" s="34"/>
      <c r="G66" s="34"/>
      <c r="H66" s="34"/>
      <c r="I66" s="34"/>
      <c r="J66" s="34"/>
      <c r="K66" s="34"/>
      <c r="L66" s="34"/>
      <c r="M66" s="34"/>
      <c r="N66" s="34"/>
      <c r="O66" s="34"/>
      <c r="P66" s="34">
        <v>4363</v>
      </c>
      <c r="Q66" s="34">
        <v>345</v>
      </c>
      <c r="R66" s="34"/>
      <c r="S66" s="34">
        <v>782</v>
      </c>
      <c r="T66" s="34">
        <v>6133</v>
      </c>
      <c r="U66" s="34">
        <v>1564</v>
      </c>
      <c r="V66" s="34">
        <v>1260</v>
      </c>
      <c r="W66" s="53">
        <v>1524</v>
      </c>
      <c r="X66" s="3"/>
      <c r="Y66" s="64"/>
      <c r="Z66" s="64"/>
      <c r="AA66" s="64"/>
      <c r="AB66" s="64">
        <f t="shared" ref="AB66:AC66" si="62">SUMIFS($C66:$V66,$C$7:$V$7,AB$7)</f>
        <v>4708</v>
      </c>
      <c r="AC66" s="64">
        <f t="shared" si="62"/>
        <v>9739</v>
      </c>
      <c r="AD66" s="3"/>
      <c r="AE66" s="64"/>
      <c r="AF66" s="64"/>
    </row>
    <row r="67" spans="1:32" ht="12.75" hidden="1" outlineLevel="1" x14ac:dyDescent="0.2">
      <c r="A67" s="2" t="s">
        <v>151</v>
      </c>
      <c r="B67" s="3"/>
      <c r="C67" s="34"/>
      <c r="D67" s="34"/>
      <c r="E67" s="34"/>
      <c r="F67" s="34"/>
      <c r="G67" s="34"/>
      <c r="H67" s="34"/>
      <c r="I67" s="34"/>
      <c r="J67" s="34"/>
      <c r="K67" s="34"/>
      <c r="L67" s="34"/>
      <c r="M67" s="34"/>
      <c r="N67" s="34"/>
      <c r="O67" s="34"/>
      <c r="P67" s="34">
        <v>2440</v>
      </c>
      <c r="Q67" s="34">
        <v>5892</v>
      </c>
      <c r="R67" s="34">
        <v>4521</v>
      </c>
      <c r="S67" s="34">
        <v>3456</v>
      </c>
      <c r="T67" s="34">
        <v>1849</v>
      </c>
      <c r="U67" s="34">
        <v>1224</v>
      </c>
      <c r="V67" s="34">
        <v>928</v>
      </c>
      <c r="W67" s="34">
        <v>657</v>
      </c>
      <c r="X67" s="3"/>
      <c r="Y67" s="64"/>
      <c r="Z67" s="64"/>
      <c r="AA67" s="64"/>
      <c r="AB67" s="64">
        <f t="shared" ref="AB67:AC67" si="63">SUMIFS($C67:$V67,$C$7:$V$7,AB$7)</f>
        <v>12853</v>
      </c>
      <c r="AC67" s="64">
        <f t="shared" si="63"/>
        <v>7457</v>
      </c>
      <c r="AD67" s="3"/>
      <c r="AE67" s="64"/>
      <c r="AF67" s="64"/>
    </row>
    <row r="68" spans="1:32" ht="12.75" hidden="1" outlineLevel="1" x14ac:dyDescent="0.2">
      <c r="A68" s="2" t="s">
        <v>152</v>
      </c>
      <c r="B68" s="3"/>
      <c r="C68" s="34"/>
      <c r="D68" s="34"/>
      <c r="E68" s="34"/>
      <c r="F68" s="34"/>
      <c r="G68" s="34"/>
      <c r="H68" s="34"/>
      <c r="I68" s="34"/>
      <c r="J68" s="34"/>
      <c r="K68" s="34"/>
      <c r="L68" s="34"/>
      <c r="M68" s="34"/>
      <c r="N68" s="34"/>
      <c r="O68" s="34"/>
      <c r="P68" s="34">
        <v>-354</v>
      </c>
      <c r="Q68" s="34">
        <v>-927</v>
      </c>
      <c r="R68" s="34">
        <v>-761</v>
      </c>
      <c r="S68" s="34">
        <v>-577</v>
      </c>
      <c r="T68" s="34">
        <v>-365</v>
      </c>
      <c r="U68" s="34">
        <v>-238</v>
      </c>
      <c r="V68" s="34">
        <v>-189</v>
      </c>
      <c r="W68" s="34">
        <v>-144</v>
      </c>
      <c r="X68" s="3"/>
      <c r="Y68" s="64"/>
      <c r="Z68" s="64"/>
      <c r="AA68" s="64"/>
      <c r="AB68" s="64">
        <f t="shared" ref="AB68:AC68" si="64">SUMIFS($C68:$V68,$C$7:$V$7,AB$7)</f>
        <v>-2042</v>
      </c>
      <c r="AC68" s="64">
        <f t="shared" si="64"/>
        <v>-1369</v>
      </c>
      <c r="AD68" s="3"/>
      <c r="AE68" s="64"/>
      <c r="AF68" s="64"/>
    </row>
    <row r="69" spans="1:32" ht="12.75" hidden="1" outlineLevel="1" x14ac:dyDescent="0.2">
      <c r="A69" s="21" t="s">
        <v>72</v>
      </c>
      <c r="B69" s="3"/>
      <c r="C69" s="43">
        <f t="shared" ref="C69:W69" si="65">SUM(C54:C68)</f>
        <v>-20129</v>
      </c>
      <c r="D69" s="43">
        <f t="shared" si="65"/>
        <v>859</v>
      </c>
      <c r="E69" s="43">
        <f t="shared" si="65"/>
        <v>-15776</v>
      </c>
      <c r="F69" s="43">
        <f t="shared" si="65"/>
        <v>-6069</v>
      </c>
      <c r="G69" s="43">
        <f t="shared" si="65"/>
        <v>-9083</v>
      </c>
      <c r="H69" s="43">
        <f t="shared" si="65"/>
        <v>12554</v>
      </c>
      <c r="I69" s="43">
        <f t="shared" si="65"/>
        <v>11623</v>
      </c>
      <c r="J69" s="43">
        <f t="shared" si="65"/>
        <v>29793</v>
      </c>
      <c r="K69" s="43">
        <f t="shared" si="65"/>
        <v>27025</v>
      </c>
      <c r="L69" s="43">
        <f t="shared" si="65"/>
        <v>36496</v>
      </c>
      <c r="M69" s="43">
        <f t="shared" si="65"/>
        <v>34304</v>
      </c>
      <c r="N69" s="43">
        <f t="shared" si="65"/>
        <v>41184</v>
      </c>
      <c r="O69" s="43">
        <f t="shared" si="65"/>
        <v>35894</v>
      </c>
      <c r="P69" s="43">
        <f t="shared" si="65"/>
        <v>68322</v>
      </c>
      <c r="Q69" s="43">
        <f t="shared" si="65"/>
        <v>70997</v>
      </c>
      <c r="R69" s="43">
        <f t="shared" si="65"/>
        <v>81310</v>
      </c>
      <c r="S69" s="43">
        <f t="shared" si="65"/>
        <v>61697</v>
      </c>
      <c r="T69" s="43">
        <f t="shared" si="65"/>
        <v>105304</v>
      </c>
      <c r="U69" s="43">
        <f t="shared" si="65"/>
        <v>131323</v>
      </c>
      <c r="V69" s="43">
        <f t="shared" si="65"/>
        <v>118529</v>
      </c>
      <c r="W69" s="43">
        <f t="shared" si="65"/>
        <v>9331</v>
      </c>
      <c r="X69" s="43"/>
      <c r="Y69" s="43">
        <f t="shared" ref="Y69:AC69" si="66">SUMIFS($C69:$V69,$C$7:$V$7,Y$7)</f>
        <v>-41115</v>
      </c>
      <c r="Z69" s="43">
        <f t="shared" si="66"/>
        <v>44887</v>
      </c>
      <c r="AA69" s="43">
        <f t="shared" si="66"/>
        <v>139009</v>
      </c>
      <c r="AB69" s="43">
        <f t="shared" si="66"/>
        <v>256523</v>
      </c>
      <c r="AC69" s="43">
        <f t="shared" si="66"/>
        <v>416853</v>
      </c>
      <c r="AD69" s="43"/>
      <c r="AE69" s="43">
        <f t="shared" ref="AE69:AF69" si="67">SUMIFS($C69:$V69,$C$5:$V$5,"&lt;="&amp;AE$5,$C$5:$V$5,"&gt;"&amp;EOMONTH(AE$5,-12))</f>
        <v>282326</v>
      </c>
      <c r="AF69" s="43">
        <f t="shared" si="67"/>
        <v>355156</v>
      </c>
    </row>
    <row r="70" spans="1:32" ht="12.75" hidden="1" outlineLevel="1" x14ac:dyDescent="0.2">
      <c r="A70" s="90"/>
      <c r="B70" s="71"/>
      <c r="C70" s="91"/>
      <c r="D70" s="91"/>
      <c r="E70" s="91"/>
      <c r="F70" s="91"/>
      <c r="G70" s="91"/>
      <c r="H70" s="91"/>
      <c r="I70" s="91"/>
      <c r="J70" s="91"/>
      <c r="K70" s="91"/>
      <c r="L70" s="91"/>
      <c r="M70" s="91"/>
      <c r="N70" s="91"/>
      <c r="O70" s="91"/>
      <c r="P70" s="91"/>
      <c r="Q70" s="91"/>
      <c r="R70" s="91"/>
      <c r="S70" s="91"/>
      <c r="T70" s="91"/>
      <c r="U70" s="91"/>
      <c r="V70" s="91"/>
      <c r="W70" s="91"/>
      <c r="X70" s="71"/>
      <c r="Y70" s="92"/>
      <c r="Z70" s="92"/>
      <c r="AA70" s="92"/>
      <c r="AB70" s="92"/>
      <c r="AC70" s="92"/>
      <c r="AD70" s="71"/>
      <c r="AE70" s="92"/>
      <c r="AF70" s="93"/>
    </row>
    <row r="71" spans="1:32" ht="12.75" hidden="1" outlineLevel="1" x14ac:dyDescent="0.2">
      <c r="A71" s="21" t="s">
        <v>153</v>
      </c>
      <c r="B71" s="3"/>
      <c r="C71" s="3"/>
      <c r="D71" s="3"/>
      <c r="E71" s="3"/>
      <c r="F71" s="3"/>
      <c r="G71" s="3"/>
      <c r="H71" s="3"/>
      <c r="I71" s="3"/>
      <c r="J71" s="3"/>
      <c r="K71" s="3"/>
      <c r="L71" s="3"/>
      <c r="M71" s="3"/>
      <c r="N71" s="3"/>
      <c r="O71" s="3"/>
      <c r="P71" s="3"/>
      <c r="Q71" s="3"/>
      <c r="R71" s="3"/>
      <c r="S71" s="3"/>
      <c r="T71" s="3"/>
      <c r="U71" s="3"/>
      <c r="V71" s="3"/>
      <c r="W71" s="3"/>
      <c r="X71" s="3"/>
      <c r="Y71" s="64"/>
      <c r="Z71" s="64"/>
      <c r="AA71" s="64"/>
      <c r="AB71" s="64"/>
      <c r="AC71" s="64"/>
      <c r="AD71" s="3"/>
      <c r="AE71" s="64"/>
      <c r="AF71" s="64"/>
    </row>
    <row r="72" spans="1:32" ht="12.75" hidden="1" outlineLevel="1" x14ac:dyDescent="0.2">
      <c r="A72" s="2" t="s">
        <v>137</v>
      </c>
      <c r="B72" s="3"/>
      <c r="C72" s="22">
        <f>'GAAP IS'!C42</f>
        <v>-47978</v>
      </c>
      <c r="D72" s="22">
        <f>'GAAP IS'!D42</f>
        <v>-29620</v>
      </c>
      <c r="E72" s="22">
        <f>'GAAP IS'!E42</f>
        <v>-53930</v>
      </c>
      <c r="F72" s="22">
        <f>'GAAP IS'!F42</f>
        <v>-48289</v>
      </c>
      <c r="G72" s="22">
        <f>'GAAP IS'!G42</f>
        <v>-96755</v>
      </c>
      <c r="H72" s="22">
        <f>'GAAP IS'!H42</f>
        <v>-27345</v>
      </c>
      <c r="I72" s="22">
        <f>'GAAP IS'!I42</f>
        <v>-32323</v>
      </c>
      <c r="J72" s="22">
        <f>'GAAP IS'!J42</f>
        <v>-15167</v>
      </c>
      <c r="K72" s="22">
        <f>'GAAP IS'!K42</f>
        <v>-15090</v>
      </c>
      <c r="L72" s="22">
        <f>'GAAP IS'!L42</f>
        <v>-15962</v>
      </c>
      <c r="M72" s="22">
        <f>'GAAP IS'!M42</f>
        <v>-16098</v>
      </c>
      <c r="N72" s="22">
        <f>'GAAP IS'!N42</f>
        <v>-15663</v>
      </c>
      <c r="O72" s="22">
        <f>'GAAP IS'!O42</f>
        <v>-23986</v>
      </c>
      <c r="P72" s="22">
        <f>'GAAP IS'!P42</f>
        <v>-5906</v>
      </c>
      <c r="Q72" s="22">
        <f>'GAAP IS'!Q42</f>
        <v>19643</v>
      </c>
      <c r="R72" s="22">
        <f>'GAAP IS'!R42</f>
        <v>-28204</v>
      </c>
      <c r="S72" s="22">
        <f>'GAAP IS'!S42</f>
        <v>-38151</v>
      </c>
      <c r="T72" s="22">
        <f>'GAAP IS'!T42</f>
        <v>-6740</v>
      </c>
      <c r="U72" s="22">
        <f>'GAAP IS'!U42</f>
        <v>29397</v>
      </c>
      <c r="V72" s="22">
        <f>'GAAP IS'!V42</f>
        <v>390940</v>
      </c>
      <c r="W72" s="22">
        <f>'GAAP IS'!W42</f>
        <v>-105891</v>
      </c>
      <c r="X72" s="22"/>
      <c r="Y72" s="22">
        <f t="shared" ref="Y72:AC72" si="68">SUMIFS($C72:$V72,$C$7:$V$7,Y$7)</f>
        <v>-179817</v>
      </c>
      <c r="Z72" s="22">
        <f t="shared" si="68"/>
        <v>-171590</v>
      </c>
      <c r="AA72" s="22">
        <f t="shared" si="68"/>
        <v>-62813</v>
      </c>
      <c r="AB72" s="22">
        <f t="shared" si="68"/>
        <v>-38453</v>
      </c>
      <c r="AC72" s="22">
        <f t="shared" si="68"/>
        <v>375446</v>
      </c>
      <c r="AD72" s="22"/>
      <c r="AE72" s="22"/>
      <c r="AF72" s="22"/>
    </row>
    <row r="73" spans="1:32" ht="12.75" hidden="1" outlineLevel="1" x14ac:dyDescent="0.2">
      <c r="A73" s="2" t="s">
        <v>27</v>
      </c>
      <c r="B73" s="3"/>
      <c r="C73" s="34"/>
      <c r="D73" s="34"/>
      <c r="E73" s="34"/>
      <c r="F73" s="34"/>
      <c r="G73" s="34">
        <v>-38838</v>
      </c>
      <c r="H73" s="34">
        <v>-32867</v>
      </c>
      <c r="I73" s="34">
        <v>-7164</v>
      </c>
      <c r="J73" s="34">
        <v>-34</v>
      </c>
      <c r="K73" s="34"/>
      <c r="L73" s="34"/>
      <c r="M73" s="34"/>
      <c r="N73" s="34"/>
      <c r="O73" s="34"/>
      <c r="P73" s="34"/>
      <c r="Q73" s="34"/>
      <c r="R73" s="34"/>
      <c r="S73" s="34"/>
      <c r="T73" s="34"/>
      <c r="U73" s="34"/>
      <c r="V73" s="34"/>
      <c r="W73" s="34"/>
      <c r="X73" s="3"/>
      <c r="Y73" s="64">
        <v>-142283</v>
      </c>
      <c r="Z73" s="64">
        <f t="shared" ref="Z73:Z77" si="69">SUMIFS($C73:$V73,$C$7:$V$7,Z$7)</f>
        <v>-78903</v>
      </c>
      <c r="AA73" s="64"/>
      <c r="AB73" s="64"/>
      <c r="AC73" s="64"/>
      <c r="AD73" s="3"/>
      <c r="AE73" s="64"/>
      <c r="AF73" s="64"/>
    </row>
    <row r="74" spans="1:32" ht="12.75" hidden="1" outlineLevel="1" x14ac:dyDescent="0.2">
      <c r="A74" s="2" t="s">
        <v>55</v>
      </c>
      <c r="B74" s="3"/>
      <c r="C74" s="34"/>
      <c r="D74" s="34"/>
      <c r="E74" s="34"/>
      <c r="F74" s="34"/>
      <c r="G74" s="34">
        <v>36610</v>
      </c>
      <c r="H74" s="34">
        <v>28672</v>
      </c>
      <c r="I74" s="34">
        <v>4528</v>
      </c>
      <c r="J74" s="34">
        <v>-49</v>
      </c>
      <c r="K74" s="34"/>
      <c r="L74" s="34"/>
      <c r="M74" s="34"/>
      <c r="N74" s="34"/>
      <c r="O74" s="34"/>
      <c r="P74" s="34"/>
      <c r="Q74" s="34"/>
      <c r="R74" s="34"/>
      <c r="S74" s="34"/>
      <c r="T74" s="34"/>
      <c r="U74" s="34"/>
      <c r="V74" s="34"/>
      <c r="W74" s="34"/>
      <c r="X74" s="3"/>
      <c r="Y74" s="64">
        <v>165438</v>
      </c>
      <c r="Z74" s="64">
        <f t="shared" si="69"/>
        <v>69761</v>
      </c>
      <c r="AA74" s="64"/>
      <c r="AB74" s="64"/>
      <c r="AC74" s="64"/>
      <c r="AD74" s="3"/>
      <c r="AE74" s="64"/>
      <c r="AF74" s="64"/>
    </row>
    <row r="75" spans="1:32" ht="12.75" hidden="1" outlineLevel="1" x14ac:dyDescent="0.2">
      <c r="A75" s="2" t="s">
        <v>142</v>
      </c>
      <c r="B75" s="3"/>
      <c r="C75" s="34"/>
      <c r="D75" s="34"/>
      <c r="E75" s="34"/>
      <c r="F75" s="34"/>
      <c r="G75" s="34">
        <v>31198</v>
      </c>
      <c r="H75" s="34">
        <v>36922</v>
      </c>
      <c r="I75" s="34">
        <v>36779</v>
      </c>
      <c r="J75" s="34">
        <v>33887</v>
      </c>
      <c r="K75" s="34">
        <v>31670</v>
      </c>
      <c r="L75" s="34">
        <v>39593</v>
      </c>
      <c r="M75" s="34">
        <v>40048</v>
      </c>
      <c r="N75" s="34">
        <v>44525</v>
      </c>
      <c r="O75" s="34">
        <v>46824</v>
      </c>
      <c r="P75" s="34">
        <v>52119</v>
      </c>
      <c r="Q75" s="34">
        <v>58913</v>
      </c>
      <c r="R75" s="34">
        <v>59025</v>
      </c>
      <c r="S75" s="34">
        <v>61088</v>
      </c>
      <c r="T75" s="34">
        <v>79466</v>
      </c>
      <c r="U75" s="34">
        <v>77426</v>
      </c>
      <c r="V75" s="34">
        <v>79883</v>
      </c>
      <c r="W75" s="34">
        <v>77303</v>
      </c>
      <c r="X75" s="3"/>
      <c r="Y75" s="64">
        <v>82292</v>
      </c>
      <c r="Z75" s="64">
        <f t="shared" si="69"/>
        <v>138786</v>
      </c>
      <c r="AA75" s="64">
        <f t="shared" ref="AA75:AC75" si="70">SUMIFS($C75:$V75,$C$7:$V$7,AA$7)</f>
        <v>155836</v>
      </c>
      <c r="AB75" s="64">
        <f t="shared" si="70"/>
        <v>216881</v>
      </c>
      <c r="AC75" s="64">
        <f t="shared" si="70"/>
        <v>297863</v>
      </c>
      <c r="AD75" s="3"/>
      <c r="AE75" s="64"/>
      <c r="AF75" s="64"/>
    </row>
    <row r="76" spans="1:32" ht="12.75" hidden="1" outlineLevel="1" x14ac:dyDescent="0.2">
      <c r="A76" s="2" t="s">
        <v>154</v>
      </c>
      <c r="B76" s="3"/>
      <c r="C76" s="34"/>
      <c r="D76" s="34"/>
      <c r="E76" s="34"/>
      <c r="F76" s="34"/>
      <c r="G76" s="34">
        <v>2713</v>
      </c>
      <c r="H76" s="34">
        <v>2134</v>
      </c>
      <c r="I76" s="34">
        <v>2076</v>
      </c>
      <c r="J76" s="34">
        <v>2090</v>
      </c>
      <c r="K76" s="34">
        <v>2121</v>
      </c>
      <c r="L76" s="34">
        <v>1943</v>
      </c>
      <c r="M76" s="34">
        <v>1804</v>
      </c>
      <c r="N76" s="34">
        <v>1747</v>
      </c>
      <c r="O76" s="34">
        <v>1875</v>
      </c>
      <c r="P76" s="34">
        <v>2816</v>
      </c>
      <c r="Q76" s="34">
        <v>4384</v>
      </c>
      <c r="R76" s="34">
        <v>4029</v>
      </c>
      <c r="S76" s="34">
        <v>3487</v>
      </c>
      <c r="T76" s="34">
        <v>3958</v>
      </c>
      <c r="U76" s="34">
        <v>3841</v>
      </c>
      <c r="V76" s="34">
        <v>3714</v>
      </c>
      <c r="W76" s="34">
        <v>4152</v>
      </c>
      <c r="X76" s="3"/>
      <c r="Y76" s="64">
        <v>7503</v>
      </c>
      <c r="Z76" s="64">
        <f t="shared" si="69"/>
        <v>9013</v>
      </c>
      <c r="AA76" s="64">
        <f t="shared" ref="AA76:AC76" si="71">SUMIFS($C76:$V76,$C$7:$V$7,AA$7)</f>
        <v>7615</v>
      </c>
      <c r="AB76" s="64">
        <f t="shared" si="71"/>
        <v>13104</v>
      </c>
      <c r="AC76" s="64">
        <f t="shared" si="71"/>
        <v>15000</v>
      </c>
      <c r="AD76" s="3"/>
      <c r="AE76" s="64"/>
      <c r="AF76" s="64"/>
    </row>
    <row r="77" spans="1:32" ht="12.75" hidden="1" outlineLevel="1" x14ac:dyDescent="0.2">
      <c r="A77" s="2" t="s">
        <v>54</v>
      </c>
      <c r="B77" s="3"/>
      <c r="C77" s="34"/>
      <c r="D77" s="34"/>
      <c r="E77" s="34"/>
      <c r="F77" s="34"/>
      <c r="G77" s="34">
        <v>50000</v>
      </c>
      <c r="H77" s="34">
        <v>-2000</v>
      </c>
      <c r="I77" s="34"/>
      <c r="J77" s="34"/>
      <c r="K77" s="34"/>
      <c r="L77" s="34"/>
      <c r="M77" s="34"/>
      <c r="N77" s="34"/>
      <c r="O77" s="34"/>
      <c r="P77" s="34"/>
      <c r="Q77" s="34"/>
      <c r="R77" s="34"/>
      <c r="S77" s="34"/>
      <c r="T77" s="34"/>
      <c r="U77" s="34"/>
      <c r="V77" s="34"/>
      <c r="W77" s="34"/>
      <c r="X77" s="3"/>
      <c r="Y77" s="64"/>
      <c r="Z77" s="64">
        <f t="shared" si="69"/>
        <v>48000</v>
      </c>
      <c r="AA77" s="64"/>
      <c r="AB77" s="64"/>
      <c r="AC77" s="64"/>
      <c r="AD77" s="3"/>
      <c r="AE77" s="64"/>
      <c r="AF77" s="64"/>
    </row>
    <row r="78" spans="1:32" ht="12.75" hidden="1" outlineLevel="1" x14ac:dyDescent="0.2">
      <c r="A78" s="2" t="s">
        <v>155</v>
      </c>
      <c r="B78" s="3"/>
      <c r="C78" s="34"/>
      <c r="D78" s="34"/>
      <c r="E78" s="34"/>
      <c r="F78" s="34"/>
      <c r="G78" s="34"/>
      <c r="H78" s="34"/>
      <c r="I78" s="34"/>
      <c r="J78" s="34"/>
      <c r="K78" s="34">
        <v>1390</v>
      </c>
      <c r="L78" s="34">
        <v>4221</v>
      </c>
      <c r="M78" s="34">
        <v>4277</v>
      </c>
      <c r="N78" s="34">
        <v>4335</v>
      </c>
      <c r="O78" s="34">
        <v>4393</v>
      </c>
      <c r="P78" s="34">
        <v>6830</v>
      </c>
      <c r="Q78" s="34">
        <v>11627</v>
      </c>
      <c r="R78" s="34">
        <v>10005</v>
      </c>
      <c r="S78" s="34">
        <v>9608</v>
      </c>
      <c r="T78" s="34">
        <v>9725</v>
      </c>
      <c r="U78" s="34">
        <v>9843</v>
      </c>
      <c r="V78" s="34">
        <v>9963</v>
      </c>
      <c r="W78" s="34">
        <v>12528</v>
      </c>
      <c r="X78" s="3"/>
      <c r="Y78" s="64"/>
      <c r="Z78" s="64"/>
      <c r="AA78" s="64">
        <f t="shared" ref="AA78:AC78" si="72">SUMIFS($C78:$V78,$C$7:$V$7,AA$7)</f>
        <v>14223</v>
      </c>
      <c r="AB78" s="64">
        <f t="shared" si="72"/>
        <v>32855</v>
      </c>
      <c r="AC78" s="64">
        <f t="shared" si="72"/>
        <v>39139</v>
      </c>
      <c r="AD78" s="3"/>
      <c r="AE78" s="64"/>
      <c r="AF78" s="64"/>
    </row>
    <row r="79" spans="1:32" ht="12.75" hidden="1" outlineLevel="1" x14ac:dyDescent="0.2">
      <c r="A79" s="2" t="s">
        <v>156</v>
      </c>
      <c r="B79" s="3"/>
      <c r="C79" s="34"/>
      <c r="D79" s="34"/>
      <c r="E79" s="34"/>
      <c r="F79" s="34"/>
      <c r="G79" s="34"/>
      <c r="H79" s="34"/>
      <c r="I79" s="34"/>
      <c r="J79" s="34"/>
      <c r="K79" s="34"/>
      <c r="L79" s="34"/>
      <c r="M79" s="34"/>
      <c r="N79" s="34"/>
      <c r="O79" s="34"/>
      <c r="P79" s="34"/>
      <c r="Q79" s="34">
        <v>-36908</v>
      </c>
      <c r="R79" s="34">
        <v>16566</v>
      </c>
      <c r="S79" s="34">
        <v>14087</v>
      </c>
      <c r="T79" s="34">
        <v>4842</v>
      </c>
      <c r="U79" s="34">
        <v>-2462</v>
      </c>
      <c r="V79" s="34">
        <v>-4141</v>
      </c>
      <c r="W79" s="34"/>
      <c r="X79" s="3"/>
      <c r="Y79" s="64"/>
      <c r="Z79" s="64"/>
      <c r="AA79" s="64"/>
      <c r="AB79" s="64">
        <f t="shared" ref="AB79:AC79" si="73">SUMIFS($C79:$V79,$C$7:$V$7,AB$7)</f>
        <v>-20342</v>
      </c>
      <c r="AC79" s="64">
        <f t="shared" si="73"/>
        <v>12326</v>
      </c>
      <c r="AD79" s="3"/>
      <c r="AE79" s="64"/>
      <c r="AF79" s="64"/>
    </row>
    <row r="80" spans="1:32" ht="12.75" hidden="1" outlineLevel="1" x14ac:dyDescent="0.2">
      <c r="A80" s="2" t="s">
        <v>157</v>
      </c>
      <c r="B80" s="3"/>
      <c r="C80" s="34"/>
      <c r="D80" s="34"/>
      <c r="E80" s="34"/>
      <c r="F80" s="34"/>
      <c r="G80" s="34"/>
      <c r="H80" s="34"/>
      <c r="I80" s="34"/>
      <c r="J80" s="34"/>
      <c r="K80" s="34"/>
      <c r="L80" s="34"/>
      <c r="M80" s="34"/>
      <c r="N80" s="34"/>
      <c r="O80" s="34"/>
      <c r="P80" s="34"/>
      <c r="Q80" s="34">
        <v>1625</v>
      </c>
      <c r="R80" s="34">
        <v>3403</v>
      </c>
      <c r="S80" s="34"/>
      <c r="T80" s="34"/>
      <c r="U80" s="34"/>
      <c r="V80" s="34"/>
      <c r="W80" s="34">
        <v>990</v>
      </c>
      <c r="X80" s="3"/>
      <c r="Y80" s="64"/>
      <c r="Z80" s="64"/>
      <c r="AA80" s="64"/>
      <c r="AB80" s="64">
        <f t="shared" ref="AB80:AC80" si="74">SUMIFS($C80:$V80,$C$7:$V$7,AB$7)</f>
        <v>5028</v>
      </c>
      <c r="AC80" s="64">
        <f t="shared" si="74"/>
        <v>0</v>
      </c>
      <c r="AD80" s="3"/>
      <c r="AE80" s="64"/>
      <c r="AF80" s="64"/>
    </row>
    <row r="81" spans="1:32" ht="12.75" hidden="1" outlineLevel="1" x14ac:dyDescent="0.2">
      <c r="A81" s="2" t="s">
        <v>57</v>
      </c>
      <c r="B81" s="3"/>
      <c r="C81" s="34"/>
      <c r="D81" s="34"/>
      <c r="E81" s="34"/>
      <c r="F81" s="34"/>
      <c r="G81" s="34">
        <v>-38</v>
      </c>
      <c r="H81" s="34">
        <v>169</v>
      </c>
      <c r="I81" s="34">
        <v>-219</v>
      </c>
      <c r="J81" s="34">
        <v>39</v>
      </c>
      <c r="K81" s="34"/>
      <c r="L81" s="34">
        <v>2</v>
      </c>
      <c r="M81" s="34">
        <v>62</v>
      </c>
      <c r="N81" s="34">
        <v>36</v>
      </c>
      <c r="O81" s="34">
        <v>-98</v>
      </c>
      <c r="P81" s="34">
        <v>73</v>
      </c>
      <c r="Q81" s="34">
        <v>806</v>
      </c>
      <c r="R81" s="34">
        <v>-1005</v>
      </c>
      <c r="S81" s="34">
        <v>19</v>
      </c>
      <c r="T81" s="34">
        <v>281</v>
      </c>
      <c r="U81" s="34">
        <v>128</v>
      </c>
      <c r="V81" s="34">
        <v>580</v>
      </c>
      <c r="W81" s="34">
        <v>218</v>
      </c>
      <c r="X81" s="3"/>
      <c r="Y81" s="64">
        <v>270</v>
      </c>
      <c r="Z81" s="64">
        <f t="shared" ref="Z81:AC81" si="75">SUMIFS($C81:$V81,$C$7:$V$7,Z$7)</f>
        <v>-49</v>
      </c>
      <c r="AA81" s="64">
        <f t="shared" si="75"/>
        <v>100</v>
      </c>
      <c r="AB81" s="64">
        <f t="shared" si="75"/>
        <v>-224</v>
      </c>
      <c r="AC81" s="64">
        <f t="shared" si="75"/>
        <v>1008</v>
      </c>
      <c r="AD81" s="3"/>
      <c r="AE81" s="64"/>
      <c r="AF81" s="64"/>
    </row>
    <row r="82" spans="1:32" ht="12.75" hidden="1" outlineLevel="1" x14ac:dyDescent="0.2">
      <c r="A82" s="2" t="s">
        <v>150</v>
      </c>
      <c r="B82" s="3"/>
      <c r="C82" s="34"/>
      <c r="D82" s="34"/>
      <c r="E82" s="34"/>
      <c r="F82" s="34"/>
      <c r="G82" s="34"/>
      <c r="H82" s="34"/>
      <c r="I82" s="34"/>
      <c r="J82" s="34"/>
      <c r="K82" s="34"/>
      <c r="L82" s="34"/>
      <c r="M82" s="34"/>
      <c r="N82" s="34"/>
      <c r="O82" s="34"/>
      <c r="P82" s="34"/>
      <c r="Q82" s="34"/>
      <c r="R82" s="34"/>
      <c r="S82" s="34"/>
      <c r="T82" s="34"/>
      <c r="U82" s="34"/>
      <c r="V82" s="34"/>
      <c r="W82" s="34"/>
      <c r="X82" s="3"/>
      <c r="Y82" s="64"/>
      <c r="Z82" s="64"/>
      <c r="AA82" s="64"/>
      <c r="AB82" s="64">
        <f t="shared" ref="AB82:AC82" si="76">SUMIFS($C82:$V82,$C$7:$V$7,AB$7)</f>
        <v>0</v>
      </c>
      <c r="AC82" s="64">
        <f t="shared" si="76"/>
        <v>0</v>
      </c>
      <c r="AD82" s="3"/>
      <c r="AE82" s="64"/>
      <c r="AF82" s="64"/>
    </row>
    <row r="83" spans="1:32" ht="12.75" hidden="1" outlineLevel="1" x14ac:dyDescent="0.2">
      <c r="A83" s="2" t="s">
        <v>149</v>
      </c>
      <c r="B83" s="3"/>
      <c r="C83" s="34"/>
      <c r="D83" s="34"/>
      <c r="E83" s="34"/>
      <c r="F83" s="34"/>
      <c r="G83" s="34"/>
      <c r="H83" s="34"/>
      <c r="I83" s="34"/>
      <c r="J83" s="34"/>
      <c r="K83" s="34"/>
      <c r="L83" s="34"/>
      <c r="M83" s="34"/>
      <c r="N83" s="34"/>
      <c r="O83" s="34"/>
      <c r="P83" s="34"/>
      <c r="Q83" s="34"/>
      <c r="R83" s="34"/>
      <c r="S83" s="34"/>
      <c r="T83" s="34"/>
      <c r="U83" s="34"/>
      <c r="V83" s="34">
        <v>-373445</v>
      </c>
      <c r="W83" s="34"/>
      <c r="X83" s="3"/>
      <c r="Y83" s="64"/>
      <c r="Z83" s="64"/>
      <c r="AA83" s="64"/>
      <c r="AB83" s="64">
        <f t="shared" ref="AB83:AC83" si="77">SUMIFS($C83:$V83,$C$7:$V$7,AB$7)</f>
        <v>0</v>
      </c>
      <c r="AC83" s="64">
        <f t="shared" si="77"/>
        <v>-373445</v>
      </c>
      <c r="AD83" s="3"/>
      <c r="AE83" s="64"/>
      <c r="AF83" s="64"/>
    </row>
    <row r="84" spans="1:32" ht="12.75" hidden="1" outlineLevel="1" x14ac:dyDescent="0.2">
      <c r="A84" s="2" t="s">
        <v>132</v>
      </c>
      <c r="B84" s="3"/>
      <c r="C84" s="34"/>
      <c r="D84" s="34"/>
      <c r="E84" s="34"/>
      <c r="F84" s="34"/>
      <c r="G84" s="34"/>
      <c r="H84" s="34"/>
      <c r="I84" s="34"/>
      <c r="J84" s="34"/>
      <c r="K84" s="34"/>
      <c r="L84" s="34"/>
      <c r="M84" s="34"/>
      <c r="N84" s="34"/>
      <c r="O84" s="34"/>
      <c r="P84" s="34">
        <v>4363</v>
      </c>
      <c r="Q84" s="34">
        <v>345</v>
      </c>
      <c r="R84" s="34"/>
      <c r="S84" s="34">
        <v>782</v>
      </c>
      <c r="T84" s="34">
        <v>6133</v>
      </c>
      <c r="U84" s="34">
        <v>1564</v>
      </c>
      <c r="V84" s="34">
        <v>1260</v>
      </c>
      <c r="W84" s="53">
        <v>1524</v>
      </c>
      <c r="X84" s="3"/>
      <c r="Y84" s="64"/>
      <c r="Z84" s="64"/>
      <c r="AA84" s="64"/>
      <c r="AB84" s="64">
        <f t="shared" ref="AB84:AC84" si="78">SUMIFS($C84:$V84,$C$7:$V$7,AB$7)</f>
        <v>4708</v>
      </c>
      <c r="AC84" s="64">
        <f t="shared" si="78"/>
        <v>9739</v>
      </c>
      <c r="AD84" s="3"/>
      <c r="AE84" s="64"/>
      <c r="AF84" s="64"/>
    </row>
    <row r="85" spans="1:32" ht="12.75" hidden="1" outlineLevel="1" x14ac:dyDescent="0.2">
      <c r="A85" s="2" t="s">
        <v>151</v>
      </c>
      <c r="B85" s="3"/>
      <c r="C85" s="34"/>
      <c r="D85" s="34"/>
      <c r="E85" s="34"/>
      <c r="F85" s="34"/>
      <c r="G85" s="34"/>
      <c r="H85" s="34"/>
      <c r="I85" s="34"/>
      <c r="J85" s="34"/>
      <c r="K85" s="34"/>
      <c r="L85" s="34"/>
      <c r="M85" s="34"/>
      <c r="N85" s="34"/>
      <c r="O85" s="34"/>
      <c r="P85" s="34">
        <v>2440</v>
      </c>
      <c r="Q85" s="34">
        <v>5892</v>
      </c>
      <c r="R85" s="34">
        <v>4521</v>
      </c>
      <c r="S85" s="34">
        <v>3456</v>
      </c>
      <c r="T85" s="34">
        <v>1849</v>
      </c>
      <c r="U85" s="34">
        <v>1224</v>
      </c>
      <c r="V85" s="34">
        <v>928</v>
      </c>
      <c r="W85" s="34">
        <v>657</v>
      </c>
      <c r="X85" s="3"/>
      <c r="Y85" s="64"/>
      <c r="Z85" s="64"/>
      <c r="AA85" s="64"/>
      <c r="AB85" s="64">
        <f t="shared" ref="AB85:AC85" si="79">SUMIFS($C85:$V85,$C$7:$V$7,AB$7)</f>
        <v>12853</v>
      </c>
      <c r="AC85" s="64">
        <f t="shared" si="79"/>
        <v>7457</v>
      </c>
      <c r="AD85" s="3"/>
      <c r="AE85" s="64"/>
      <c r="AF85" s="64"/>
    </row>
    <row r="86" spans="1:32" ht="12.75" hidden="1" outlineLevel="1" x14ac:dyDescent="0.2">
      <c r="A86" s="2" t="s">
        <v>158</v>
      </c>
      <c r="B86" s="3"/>
      <c r="C86" s="34"/>
      <c r="D86" s="34"/>
      <c r="E86" s="34"/>
      <c r="F86" s="34"/>
      <c r="G86" s="34"/>
      <c r="H86" s="34"/>
      <c r="I86" s="34"/>
      <c r="J86" s="34"/>
      <c r="K86" s="34"/>
      <c r="L86" s="34"/>
      <c r="M86" s="34"/>
      <c r="N86" s="34"/>
      <c r="O86" s="34"/>
      <c r="P86" s="34">
        <v>-354</v>
      </c>
      <c r="Q86" s="34">
        <v>-927</v>
      </c>
      <c r="R86" s="34">
        <v>-761</v>
      </c>
      <c r="S86" s="34">
        <v>-577</v>
      </c>
      <c r="T86" s="34">
        <v>-365</v>
      </c>
      <c r="U86" s="34">
        <v>-238</v>
      </c>
      <c r="V86" s="34">
        <v>-189</v>
      </c>
      <c r="W86" s="34">
        <v>-144</v>
      </c>
      <c r="X86" s="3"/>
      <c r="Y86" s="64"/>
      <c r="Z86" s="64"/>
      <c r="AA86" s="64"/>
      <c r="AB86" s="64">
        <f t="shared" ref="AB86:AC86" si="80">SUMIFS($C86:$V86,$C$7:$V$7,AB$7)</f>
        <v>-2042</v>
      </c>
      <c r="AC86" s="64">
        <f t="shared" si="80"/>
        <v>-1369</v>
      </c>
      <c r="AD86" s="3"/>
      <c r="AE86" s="64"/>
      <c r="AF86" s="64"/>
    </row>
    <row r="87" spans="1:32" ht="12.75" hidden="1" outlineLevel="1" x14ac:dyDescent="0.2">
      <c r="A87" s="94" t="s">
        <v>159</v>
      </c>
      <c r="B87" s="3"/>
      <c r="C87" s="43">
        <f t="shared" ref="C87:W87" si="81">SUM(C72:C86)</f>
        <v>-47978</v>
      </c>
      <c r="D87" s="43">
        <f t="shared" si="81"/>
        <v>-29620</v>
      </c>
      <c r="E87" s="43">
        <f t="shared" si="81"/>
        <v>-53930</v>
      </c>
      <c r="F87" s="43">
        <f t="shared" si="81"/>
        <v>-48289</v>
      </c>
      <c r="G87" s="43">
        <f t="shared" si="81"/>
        <v>-15110</v>
      </c>
      <c r="H87" s="43">
        <f t="shared" si="81"/>
        <v>5685</v>
      </c>
      <c r="I87" s="43">
        <f t="shared" si="81"/>
        <v>3677</v>
      </c>
      <c r="J87" s="43">
        <f t="shared" si="81"/>
        <v>20766</v>
      </c>
      <c r="K87" s="43">
        <f t="shared" si="81"/>
        <v>20091</v>
      </c>
      <c r="L87" s="43">
        <f t="shared" si="81"/>
        <v>29797</v>
      </c>
      <c r="M87" s="43">
        <f t="shared" si="81"/>
        <v>30093</v>
      </c>
      <c r="N87" s="43">
        <f t="shared" si="81"/>
        <v>34980</v>
      </c>
      <c r="O87" s="43">
        <f t="shared" si="81"/>
        <v>29008</v>
      </c>
      <c r="P87" s="43">
        <f t="shared" si="81"/>
        <v>62381</v>
      </c>
      <c r="Q87" s="43">
        <f t="shared" si="81"/>
        <v>65400</v>
      </c>
      <c r="R87" s="43">
        <f t="shared" si="81"/>
        <v>67579</v>
      </c>
      <c r="S87" s="43">
        <f t="shared" si="81"/>
        <v>53799</v>
      </c>
      <c r="T87" s="43">
        <f t="shared" si="81"/>
        <v>99149</v>
      </c>
      <c r="U87" s="43">
        <f t="shared" si="81"/>
        <v>120723</v>
      </c>
      <c r="V87" s="43">
        <f t="shared" si="81"/>
        <v>109493</v>
      </c>
      <c r="W87" s="43">
        <f t="shared" si="81"/>
        <v>-8663</v>
      </c>
      <c r="X87" s="3"/>
      <c r="Y87" s="43">
        <f>SUM(Y72:Y86)</f>
        <v>-66597</v>
      </c>
      <c r="Z87" s="43">
        <f t="shared" ref="Z87:AC87" si="82">SUMIFS($C87:$V87,$C$7:$V$7,Z$7)</f>
        <v>15018</v>
      </c>
      <c r="AA87" s="43">
        <f t="shared" si="82"/>
        <v>114961</v>
      </c>
      <c r="AB87" s="43">
        <f t="shared" si="82"/>
        <v>224368</v>
      </c>
      <c r="AC87" s="43">
        <f t="shared" si="82"/>
        <v>383164</v>
      </c>
      <c r="AD87" s="3"/>
      <c r="AE87" s="43"/>
      <c r="AF87" s="43"/>
    </row>
    <row r="88" spans="1:32" ht="12.75" hidden="1" outlineLevel="1" x14ac:dyDescent="0.2">
      <c r="A88" s="2" t="s">
        <v>160</v>
      </c>
      <c r="B88" s="3"/>
      <c r="C88" s="3"/>
      <c r="D88" s="3"/>
      <c r="E88" s="3"/>
      <c r="F88" s="3"/>
      <c r="G88" s="3"/>
      <c r="H88" s="3"/>
      <c r="I88" s="3"/>
      <c r="J88" s="3"/>
      <c r="K88" s="3"/>
      <c r="L88" s="3"/>
      <c r="M88" s="3"/>
      <c r="N88" s="3"/>
      <c r="O88" s="3"/>
      <c r="P88" s="3"/>
      <c r="Q88" s="3"/>
      <c r="R88" s="34">
        <v>1292</v>
      </c>
      <c r="S88" s="24">
        <v>1277</v>
      </c>
      <c r="T88" s="24">
        <v>1277</v>
      </c>
      <c r="U88" s="24">
        <v>1277</v>
      </c>
      <c r="V88" s="24">
        <v>1277</v>
      </c>
      <c r="W88" s="95"/>
      <c r="X88" s="3"/>
      <c r="Y88" s="26"/>
      <c r="Z88" s="26"/>
      <c r="AA88" s="26"/>
      <c r="AB88" s="26">
        <f t="shared" ref="AB88:AC88" si="83">SUMIFS($C88:$V88,$C$7:$V$7,AB$7)</f>
        <v>1292</v>
      </c>
      <c r="AC88" s="26">
        <f t="shared" si="83"/>
        <v>5108</v>
      </c>
      <c r="AD88" s="3"/>
      <c r="AE88" s="26"/>
      <c r="AF88" s="26"/>
    </row>
    <row r="89" spans="1:32" ht="12.75" hidden="1" outlineLevel="1" x14ac:dyDescent="0.2">
      <c r="A89" s="94" t="s">
        <v>161</v>
      </c>
      <c r="B89" s="3"/>
      <c r="C89" s="43">
        <f t="shared" ref="C89:W89" si="84">C87+C88</f>
        <v>-47978</v>
      </c>
      <c r="D89" s="43">
        <f t="shared" si="84"/>
        <v>-29620</v>
      </c>
      <c r="E89" s="43">
        <f t="shared" si="84"/>
        <v>-53930</v>
      </c>
      <c r="F89" s="43">
        <f t="shared" si="84"/>
        <v>-48289</v>
      </c>
      <c r="G89" s="43">
        <f t="shared" si="84"/>
        <v>-15110</v>
      </c>
      <c r="H89" s="43">
        <f t="shared" si="84"/>
        <v>5685</v>
      </c>
      <c r="I89" s="43">
        <f t="shared" si="84"/>
        <v>3677</v>
      </c>
      <c r="J89" s="43">
        <f t="shared" si="84"/>
        <v>20766</v>
      </c>
      <c r="K89" s="43">
        <f t="shared" si="84"/>
        <v>20091</v>
      </c>
      <c r="L89" s="43">
        <f t="shared" si="84"/>
        <v>29797</v>
      </c>
      <c r="M89" s="43">
        <f t="shared" si="84"/>
        <v>30093</v>
      </c>
      <c r="N89" s="43">
        <f t="shared" si="84"/>
        <v>34980</v>
      </c>
      <c r="O89" s="43">
        <f t="shared" si="84"/>
        <v>29008</v>
      </c>
      <c r="P89" s="43">
        <f t="shared" si="84"/>
        <v>62381</v>
      </c>
      <c r="Q89" s="43">
        <f t="shared" si="84"/>
        <v>65400</v>
      </c>
      <c r="R89" s="43">
        <f t="shared" si="84"/>
        <v>68871</v>
      </c>
      <c r="S89" s="43">
        <f t="shared" si="84"/>
        <v>55076</v>
      </c>
      <c r="T89" s="43">
        <f t="shared" si="84"/>
        <v>100426</v>
      </c>
      <c r="U89" s="43">
        <f t="shared" si="84"/>
        <v>122000</v>
      </c>
      <c r="V89" s="43">
        <f t="shared" si="84"/>
        <v>110770</v>
      </c>
      <c r="W89" s="43">
        <f t="shared" si="84"/>
        <v>-8663</v>
      </c>
      <c r="X89" s="3"/>
      <c r="Y89" s="43">
        <f>Y87</f>
        <v>-66597</v>
      </c>
      <c r="Z89" s="43">
        <f t="shared" ref="Z89:AC89" si="85">SUMIFS($C89:$V89,$C$7:$V$7,Z$7)</f>
        <v>15018</v>
      </c>
      <c r="AA89" s="43">
        <f t="shared" si="85"/>
        <v>114961</v>
      </c>
      <c r="AB89" s="43">
        <f t="shared" si="85"/>
        <v>225660</v>
      </c>
      <c r="AC89" s="43">
        <f t="shared" si="85"/>
        <v>388272</v>
      </c>
      <c r="AD89" s="3"/>
      <c r="AE89" s="43"/>
      <c r="AF89" s="43"/>
    </row>
    <row r="90" spans="1:32" ht="12.75" hidden="1" outlineLevel="1" x14ac:dyDescent="0.2">
      <c r="A90" s="2"/>
      <c r="B90" s="3"/>
      <c r="C90" s="3"/>
      <c r="D90" s="3"/>
      <c r="E90" s="3"/>
      <c r="F90" s="3"/>
      <c r="G90" s="3"/>
      <c r="H90" s="3"/>
      <c r="I90" s="3"/>
      <c r="J90" s="3"/>
      <c r="K90" s="3"/>
      <c r="L90" s="3"/>
      <c r="M90" s="3"/>
      <c r="N90" s="3"/>
      <c r="O90" s="3"/>
      <c r="P90" s="3"/>
      <c r="Q90" s="3"/>
      <c r="R90" s="3"/>
      <c r="S90" s="3"/>
      <c r="T90" s="3"/>
      <c r="U90" s="3"/>
      <c r="V90" s="3"/>
      <c r="W90" s="3"/>
      <c r="X90" s="3"/>
      <c r="Y90" s="64"/>
      <c r="Z90" s="64"/>
      <c r="AA90" s="64"/>
      <c r="AB90" s="64"/>
      <c r="AC90" s="64"/>
      <c r="AD90" s="3"/>
      <c r="AE90" s="64"/>
      <c r="AF90" s="64"/>
    </row>
    <row r="91" spans="1:32" ht="12.75" hidden="1" outlineLevel="1" x14ac:dyDescent="0.2">
      <c r="A91" s="94" t="s">
        <v>162</v>
      </c>
      <c r="B91" s="3"/>
      <c r="C91" s="3"/>
      <c r="D91" s="3"/>
      <c r="E91" s="3"/>
      <c r="F91" s="3"/>
      <c r="G91" s="3"/>
      <c r="H91" s="3"/>
      <c r="I91" s="3"/>
      <c r="J91" s="3"/>
      <c r="K91" s="3"/>
      <c r="L91" s="3"/>
      <c r="M91" s="3"/>
      <c r="N91" s="3"/>
      <c r="O91" s="3"/>
      <c r="P91" s="3"/>
      <c r="Q91" s="3"/>
      <c r="S91" s="3"/>
      <c r="T91" s="3"/>
      <c r="U91" s="3"/>
      <c r="V91" s="3"/>
      <c r="W91" s="3"/>
      <c r="X91" s="3"/>
      <c r="Y91" s="64"/>
      <c r="Z91" s="64"/>
      <c r="AA91" s="64"/>
      <c r="AB91" s="64"/>
      <c r="AC91" s="64"/>
      <c r="AD91" s="3"/>
      <c r="AE91" s="64"/>
      <c r="AF91" s="64"/>
    </row>
    <row r="92" spans="1:32" ht="12.75" hidden="1" outlineLevel="1" x14ac:dyDescent="0.2">
      <c r="A92" s="2" t="s">
        <v>163</v>
      </c>
      <c r="B92" s="3"/>
      <c r="C92" s="73">
        <v>-0.33</v>
      </c>
      <c r="D92" s="73">
        <v>-0.2</v>
      </c>
      <c r="E92" s="73">
        <v>-0.35</v>
      </c>
      <c r="F92" s="73">
        <v>-0.21</v>
      </c>
      <c r="G92" s="73">
        <v>-0.05</v>
      </c>
      <c r="H92" s="73">
        <v>0.02</v>
      </c>
      <c r="I92" s="73">
        <v>0.01</v>
      </c>
      <c r="J92" s="73">
        <f>J$87/J$96</f>
        <v>5.8275313391872439E-2</v>
      </c>
      <c r="K92" s="73">
        <v>0.05</v>
      </c>
      <c r="L92" s="73">
        <v>0.08</v>
      </c>
      <c r="M92" s="73">
        <v>0.08</v>
      </c>
      <c r="N92" s="73">
        <v>0.09</v>
      </c>
      <c r="O92" s="73">
        <v>7.0000000000000007E-2</v>
      </c>
      <c r="P92" s="73">
        <v>0.15</v>
      </c>
      <c r="Q92" s="73">
        <v>0.16</v>
      </c>
      <c r="R92" s="73">
        <v>0.16</v>
      </c>
      <c r="S92" s="73">
        <v>0.13</v>
      </c>
      <c r="T92" s="73">
        <v>0.23</v>
      </c>
      <c r="U92" s="73">
        <v>0.28000000000000003</v>
      </c>
      <c r="V92" s="73">
        <v>0.25</v>
      </c>
      <c r="W92" s="96">
        <v>-0.02</v>
      </c>
      <c r="X92" s="3"/>
      <c r="Y92" s="73">
        <v>-1.0900000000000001</v>
      </c>
      <c r="Z92" s="73">
        <v>0.04</v>
      </c>
      <c r="AA92" s="73">
        <v>0.3</v>
      </c>
      <c r="AB92" s="73">
        <v>0.54</v>
      </c>
      <c r="AC92" s="73">
        <v>0.89</v>
      </c>
      <c r="AD92" s="3"/>
      <c r="AE92" s="73"/>
      <c r="AF92" s="73"/>
    </row>
    <row r="93" spans="1:32" ht="12.75" hidden="1" outlineLevel="1" x14ac:dyDescent="0.2">
      <c r="A93" s="2" t="s">
        <v>164</v>
      </c>
      <c r="B93" s="3"/>
      <c r="C93" s="73"/>
      <c r="D93" s="73"/>
      <c r="E93" s="73"/>
      <c r="F93" s="73"/>
      <c r="G93" s="73">
        <v>-0.05</v>
      </c>
      <c r="H93" s="73">
        <v>0.02</v>
      </c>
      <c r="I93" s="73">
        <v>0.01</v>
      </c>
      <c r="J93" s="73">
        <f>J$89/J$97</f>
        <v>5.428579644525542E-2</v>
      </c>
      <c r="K93" s="73">
        <v>0.05</v>
      </c>
      <c r="L93" s="73">
        <v>7.0000000000000007E-2</v>
      </c>
      <c r="M93" s="73">
        <v>7.0000000000000007E-2</v>
      </c>
      <c r="N93" s="73">
        <v>0.08</v>
      </c>
      <c r="O93" s="73">
        <v>0.06</v>
      </c>
      <c r="P93" s="73">
        <v>0.13</v>
      </c>
      <c r="Q93" s="73">
        <v>0.13</v>
      </c>
      <c r="R93" s="73">
        <v>0.14000000000000001</v>
      </c>
      <c r="S93" s="73">
        <v>0.11</v>
      </c>
      <c r="T93" s="73">
        <v>0.21</v>
      </c>
      <c r="U93" s="73">
        <v>0.25</v>
      </c>
      <c r="V93" s="73">
        <v>0.23</v>
      </c>
      <c r="W93" s="96">
        <v>-0.02</v>
      </c>
      <c r="X93" s="3"/>
      <c r="Y93" s="73"/>
      <c r="Z93" s="73">
        <v>0.03</v>
      </c>
      <c r="AA93" s="73">
        <v>0.27</v>
      </c>
      <c r="AB93" s="73">
        <v>0.46</v>
      </c>
      <c r="AC93" s="73">
        <v>0.8</v>
      </c>
      <c r="AD93" s="3"/>
      <c r="AE93" s="73"/>
      <c r="AF93" s="73"/>
    </row>
    <row r="94" spans="1:32" ht="12.75" hidden="1" outlineLevel="1" x14ac:dyDescent="0.2">
      <c r="A94" s="2"/>
      <c r="B94" s="3"/>
      <c r="C94" s="3"/>
      <c r="D94" s="3"/>
      <c r="E94" s="3"/>
      <c r="F94" s="3"/>
      <c r="G94" s="3"/>
      <c r="H94" s="3"/>
      <c r="I94" s="3"/>
      <c r="J94" s="3"/>
      <c r="K94" s="3"/>
      <c r="L94" s="3"/>
      <c r="M94" s="3"/>
      <c r="N94" s="3"/>
      <c r="O94" s="3"/>
      <c r="P94" s="3"/>
      <c r="Q94" s="3"/>
      <c r="R94" s="9"/>
      <c r="S94" s="3"/>
      <c r="T94" s="3"/>
      <c r="U94" s="3"/>
      <c r="V94" s="3"/>
      <c r="W94" s="3"/>
      <c r="X94" s="3"/>
      <c r="Y94" s="3"/>
      <c r="Z94" s="3"/>
      <c r="AA94" s="3"/>
      <c r="AB94" s="3"/>
      <c r="AC94" s="3"/>
      <c r="AD94" s="3"/>
      <c r="AE94" s="3"/>
      <c r="AF94" s="3"/>
    </row>
    <row r="95" spans="1:32" ht="12.75" hidden="1" outlineLevel="1" x14ac:dyDescent="0.2">
      <c r="A95" s="94" t="s">
        <v>165</v>
      </c>
      <c r="B95" s="3"/>
      <c r="C95" s="3"/>
      <c r="D95" s="3"/>
      <c r="E95" s="3"/>
      <c r="F95" s="3"/>
      <c r="G95" s="3"/>
      <c r="H95" s="3"/>
      <c r="I95" s="3"/>
      <c r="J95" s="3"/>
      <c r="K95" s="3"/>
      <c r="L95" s="3"/>
      <c r="M95" s="3"/>
      <c r="N95" s="3"/>
      <c r="O95" s="3"/>
      <c r="P95" s="3"/>
      <c r="Q95" s="3"/>
      <c r="R95" s="9"/>
      <c r="S95" s="3"/>
      <c r="T95" s="3"/>
      <c r="U95" s="3"/>
      <c r="V95" s="3"/>
      <c r="W95" s="3"/>
      <c r="X95" s="3"/>
      <c r="Y95" s="3"/>
      <c r="Z95" s="3"/>
      <c r="AA95" s="3"/>
      <c r="AB95" s="3"/>
      <c r="AC95" s="3"/>
      <c r="AD95" s="3"/>
      <c r="AE95" s="3"/>
      <c r="AF95" s="3"/>
    </row>
    <row r="96" spans="1:32" ht="12.75" hidden="1" outlineLevel="1" x14ac:dyDescent="0.2">
      <c r="A96" s="2" t="s">
        <v>163</v>
      </c>
      <c r="B96" s="3"/>
      <c r="C96" s="34">
        <v>145069</v>
      </c>
      <c r="D96" s="34">
        <v>149253</v>
      </c>
      <c r="E96" s="34">
        <v>152334</v>
      </c>
      <c r="F96" s="34">
        <v>234548</v>
      </c>
      <c r="G96" s="34">
        <v>331324</v>
      </c>
      <c r="H96" s="34">
        <v>334488</v>
      </c>
      <c r="I96" s="34">
        <v>343893</v>
      </c>
      <c r="J96" s="34">
        <v>356343</v>
      </c>
      <c r="K96" s="34">
        <v>366737</v>
      </c>
      <c r="L96" s="34">
        <v>376357</v>
      </c>
      <c r="M96" s="34">
        <v>383951</v>
      </c>
      <c r="N96" s="34">
        <v>390030</v>
      </c>
      <c r="O96" s="34">
        <v>395948</v>
      </c>
      <c r="P96" s="34">
        <v>403301</v>
      </c>
      <c r="Q96" s="34">
        <v>409690</v>
      </c>
      <c r="R96" s="34">
        <v>413984</v>
      </c>
      <c r="S96" s="34">
        <v>419289</v>
      </c>
      <c r="T96" s="24">
        <v>423305</v>
      </c>
      <c r="U96" s="24">
        <v>427124</v>
      </c>
      <c r="V96" s="24">
        <v>430136</v>
      </c>
      <c r="W96" s="24">
        <v>434940</v>
      </c>
      <c r="X96" s="46"/>
      <c r="Y96" s="24">
        <v>170498</v>
      </c>
      <c r="Z96" s="24">
        <v>341555</v>
      </c>
      <c r="AA96" s="24">
        <v>379344</v>
      </c>
      <c r="AB96" s="24">
        <v>405731</v>
      </c>
      <c r="AC96" s="24">
        <v>424999</v>
      </c>
      <c r="AD96" s="46"/>
      <c r="AE96" s="24"/>
      <c r="AF96" s="24"/>
    </row>
    <row r="97" spans="1:32" ht="12.75" hidden="1" outlineLevel="1" x14ac:dyDescent="0.2">
      <c r="A97" s="2" t="s">
        <v>166</v>
      </c>
      <c r="B97" s="3"/>
      <c r="C97" s="34"/>
      <c r="D97" s="34"/>
      <c r="E97" s="34"/>
      <c r="F97" s="34"/>
      <c r="G97" s="34">
        <v>331324</v>
      </c>
      <c r="H97" s="34">
        <v>365731</v>
      </c>
      <c r="I97" s="34">
        <v>370746</v>
      </c>
      <c r="J97" s="34">
        <v>382531</v>
      </c>
      <c r="K97" s="34">
        <v>404319</v>
      </c>
      <c r="L97" s="34">
        <v>418468</v>
      </c>
      <c r="M97" s="34">
        <v>432284</v>
      </c>
      <c r="N97" s="34">
        <v>450703</v>
      </c>
      <c r="O97" s="34">
        <v>461761</v>
      </c>
      <c r="P97" s="34">
        <v>470022</v>
      </c>
      <c r="Q97" s="34">
        <v>495621</v>
      </c>
      <c r="R97" s="34">
        <v>488177</v>
      </c>
      <c r="S97" s="34">
        <v>487056</v>
      </c>
      <c r="T97" s="24">
        <v>486532</v>
      </c>
      <c r="U97" s="24">
        <v>486404</v>
      </c>
      <c r="V97" s="24">
        <v>485394</v>
      </c>
      <c r="W97" s="95">
        <v>434940</v>
      </c>
      <c r="X97" s="46"/>
      <c r="Y97" s="24">
        <v>170498</v>
      </c>
      <c r="Z97" s="24">
        <v>341555</v>
      </c>
      <c r="AA97" s="24">
        <v>426519</v>
      </c>
      <c r="AB97" s="24">
        <v>478895</v>
      </c>
      <c r="AC97" s="24">
        <v>486381</v>
      </c>
      <c r="AD97" s="46"/>
      <c r="AE97" s="24"/>
      <c r="AF97" s="24"/>
    </row>
    <row r="98" spans="1:32" ht="12.75" x14ac:dyDescent="0.2">
      <c r="A98" s="70"/>
      <c r="B98" s="3"/>
      <c r="C98" s="34"/>
      <c r="D98" s="34"/>
      <c r="E98" s="34"/>
      <c r="F98" s="34"/>
      <c r="G98" s="34"/>
      <c r="H98" s="34"/>
      <c r="I98" s="34"/>
      <c r="J98" s="34"/>
      <c r="K98" s="34"/>
      <c r="L98" s="34"/>
      <c r="M98" s="34"/>
      <c r="N98" s="34"/>
      <c r="O98" s="34"/>
      <c r="P98" s="34"/>
      <c r="Q98" s="34"/>
      <c r="R98" s="34"/>
      <c r="S98" s="34"/>
      <c r="T98" s="24"/>
      <c r="U98" s="24"/>
      <c r="V98" s="24"/>
      <c r="W98" s="24"/>
      <c r="X98" s="46"/>
      <c r="Y98" s="24"/>
      <c r="Z98" s="24"/>
      <c r="AA98" s="24"/>
      <c r="AB98" s="24"/>
      <c r="AC98" s="24"/>
      <c r="AD98" s="46"/>
      <c r="AE98" s="97"/>
      <c r="AF98" s="97"/>
    </row>
    <row r="99" spans="1:32" ht="12.75" x14ac:dyDescent="0.2">
      <c r="A99" s="70" t="s">
        <v>114</v>
      </c>
      <c r="B99" s="3"/>
      <c r="C99" s="34"/>
      <c r="D99" s="34"/>
      <c r="E99" s="34"/>
      <c r="F99" s="34"/>
      <c r="G99" s="34"/>
      <c r="H99" s="34"/>
      <c r="I99" s="34"/>
      <c r="J99" s="34"/>
      <c r="K99" s="34"/>
      <c r="L99" s="34"/>
      <c r="M99" s="34"/>
      <c r="N99" s="34"/>
      <c r="O99" s="34"/>
      <c r="P99" s="34"/>
      <c r="Q99" s="34"/>
      <c r="R99" s="34"/>
      <c r="S99" s="34"/>
      <c r="T99" s="24"/>
      <c r="U99" s="24"/>
      <c r="V99" s="24"/>
      <c r="W99" s="24"/>
      <c r="X99" s="46"/>
      <c r="Y99" s="24"/>
      <c r="Z99" s="24"/>
      <c r="AA99" s="24"/>
      <c r="AB99" s="24"/>
      <c r="AC99" s="24"/>
      <c r="AD99" s="46"/>
      <c r="AE99" s="24"/>
      <c r="AF99" s="24"/>
    </row>
    <row r="100" spans="1:32" ht="12.75" x14ac:dyDescent="0.2">
      <c r="A100" s="98" t="s">
        <v>100</v>
      </c>
      <c r="B100" s="99"/>
      <c r="C100" s="100"/>
      <c r="D100" s="100"/>
      <c r="E100" s="100"/>
      <c r="F100" s="100"/>
      <c r="G100" s="101">
        <f t="shared" ref="G100:U100" si="86">G13/C13-1</f>
        <v>0.63827020725678985</v>
      </c>
      <c r="H100" s="101">
        <f t="shared" si="86"/>
        <v>0.54494392185238794</v>
      </c>
      <c r="I100" s="101">
        <f t="shared" si="86"/>
        <v>0.50851513377287882</v>
      </c>
      <c r="J100" s="101">
        <f t="shared" si="86"/>
        <v>0.4261070563227447</v>
      </c>
      <c r="K100" s="101">
        <f t="shared" si="86"/>
        <v>0.39424583490130338</v>
      </c>
      <c r="L100" s="101">
        <f t="shared" si="86"/>
        <v>0.40749609212629312</v>
      </c>
      <c r="M100" s="101">
        <f t="shared" si="86"/>
        <v>0.44628382749174533</v>
      </c>
      <c r="N100" s="101">
        <f t="shared" si="86"/>
        <v>0.4731208013466961</v>
      </c>
      <c r="O100" s="101">
        <f t="shared" si="86"/>
        <v>0.50567289572864316</v>
      </c>
      <c r="P100" s="101">
        <f t="shared" si="86"/>
        <v>0.60321197273026006</v>
      </c>
      <c r="Q100" s="101">
        <f t="shared" si="86"/>
        <v>0.6768151340251094</v>
      </c>
      <c r="R100" s="101">
        <f t="shared" si="86"/>
        <v>0.64245130157292563</v>
      </c>
      <c r="S100" s="101">
        <f t="shared" si="86"/>
        <v>0.5939312952219542</v>
      </c>
      <c r="T100" s="101">
        <f t="shared" si="86"/>
        <v>0.4601759579485929</v>
      </c>
      <c r="U100" s="101">
        <f t="shared" si="86"/>
        <v>0.39681910116529351</v>
      </c>
      <c r="V100" s="101"/>
      <c r="W100" s="101"/>
      <c r="X100" s="102"/>
      <c r="Y100" s="101"/>
      <c r="Z100" s="101">
        <f t="shared" ref="Z100:AB100" si="87">Z13/Y13-1</f>
        <v>0.51850197271810483</v>
      </c>
      <c r="AA100" s="101">
        <f t="shared" si="87"/>
        <v>0.43305739144618993</v>
      </c>
      <c r="AB100" s="101">
        <f t="shared" si="87"/>
        <v>0.61351697167474795</v>
      </c>
      <c r="AC100" s="101"/>
      <c r="AD100" s="102"/>
      <c r="AE100" s="101"/>
      <c r="AF100" s="101"/>
    </row>
    <row r="101" spans="1:32" ht="12.75" x14ac:dyDescent="0.2">
      <c r="A101" s="98" t="s">
        <v>167</v>
      </c>
      <c r="B101" s="99"/>
      <c r="C101" s="100"/>
      <c r="D101" s="100"/>
      <c r="E101" s="100"/>
      <c r="F101" s="100"/>
      <c r="G101" s="100"/>
      <c r="H101" s="100"/>
      <c r="I101" s="100"/>
      <c r="J101" s="100"/>
      <c r="K101" s="100"/>
      <c r="L101" s="100"/>
      <c r="M101" s="100"/>
      <c r="N101" s="100"/>
      <c r="O101" s="100"/>
      <c r="P101" s="101">
        <f t="shared" ref="P101:S101" si="88">P17/L13-1</f>
        <v>0.54090253022923052</v>
      </c>
      <c r="Q101" s="101">
        <f t="shared" si="88"/>
        <v>0.55656201869973088</v>
      </c>
      <c r="R101" s="101">
        <f t="shared" si="88"/>
        <v>0.53393500272414007</v>
      </c>
      <c r="S101" s="101">
        <f t="shared" si="88"/>
        <v>0.49140864350433477</v>
      </c>
      <c r="T101" s="103"/>
      <c r="U101" s="103"/>
      <c r="V101" s="103"/>
      <c r="W101" s="103"/>
      <c r="X101" s="102"/>
      <c r="Y101" s="101"/>
      <c r="Z101" s="101"/>
      <c r="AA101" s="101"/>
      <c r="AB101" s="101"/>
      <c r="AC101" s="101"/>
      <c r="AD101" s="102"/>
      <c r="AE101" s="101"/>
      <c r="AF101" s="101"/>
    </row>
    <row r="102" spans="1:32" ht="12.75" x14ac:dyDescent="0.2">
      <c r="A102" s="41"/>
      <c r="B102" s="37"/>
      <c r="C102" s="104"/>
      <c r="D102" s="104"/>
      <c r="E102" s="104"/>
      <c r="F102" s="104"/>
      <c r="G102" s="104"/>
      <c r="H102" s="104"/>
      <c r="I102" s="104"/>
      <c r="J102" s="104"/>
      <c r="K102" s="104"/>
      <c r="L102" s="104"/>
      <c r="M102" s="104"/>
      <c r="N102" s="104"/>
      <c r="O102" s="104"/>
      <c r="P102" s="104"/>
      <c r="Q102" s="104"/>
      <c r="R102" s="104"/>
      <c r="S102" s="104"/>
      <c r="T102" s="105"/>
      <c r="U102" s="105"/>
      <c r="V102" s="105"/>
      <c r="W102" s="105"/>
      <c r="X102" s="106"/>
      <c r="Y102" s="107"/>
      <c r="Z102" s="107"/>
      <c r="AA102" s="107"/>
      <c r="AB102" s="107"/>
      <c r="AC102" s="107"/>
      <c r="AD102" s="106"/>
      <c r="AE102" s="107"/>
      <c r="AF102" s="107"/>
    </row>
    <row r="103" spans="1:32" ht="12.75" x14ac:dyDescent="0.2">
      <c r="A103" s="41" t="s">
        <v>168</v>
      </c>
      <c r="B103" s="37"/>
      <c r="C103" s="104"/>
      <c r="D103" s="104"/>
      <c r="E103" s="104"/>
      <c r="F103" s="104"/>
      <c r="G103" s="107">
        <f t="shared" ref="G103:W103" si="89">G27/C27-1</f>
        <v>0.17680971850457383</v>
      </c>
      <c r="H103" s="107">
        <f t="shared" si="89"/>
        <v>0.3752093631275788</v>
      </c>
      <c r="I103" s="107">
        <f t="shared" si="89"/>
        <v>0.13245466289470675</v>
      </c>
      <c r="J103" s="107">
        <f t="shared" si="89"/>
        <v>0.16923866149744771</v>
      </c>
      <c r="K103" s="107">
        <f t="shared" si="89"/>
        <v>0.23568619609411456</v>
      </c>
      <c r="L103" s="107">
        <f t="shared" si="89"/>
        <v>0.28235862017749058</v>
      </c>
      <c r="M103" s="107">
        <f t="shared" si="89"/>
        <v>0.34238227946803756</v>
      </c>
      <c r="N103" s="107">
        <f t="shared" si="89"/>
        <v>0.43989556436241761</v>
      </c>
      <c r="O103" s="107">
        <f t="shared" si="89"/>
        <v>0.48934003991585318</v>
      </c>
      <c r="P103" s="107">
        <f t="shared" si="89"/>
        <v>0.45762005142579176</v>
      </c>
      <c r="Q103" s="107">
        <f t="shared" si="89"/>
        <v>0.55579579191945272</v>
      </c>
      <c r="R103" s="107">
        <f t="shared" si="89"/>
        <v>0.52056265703596027</v>
      </c>
      <c r="S103" s="107">
        <f t="shared" si="89"/>
        <v>0.53785419694232806</v>
      </c>
      <c r="T103" s="107">
        <f t="shared" si="89"/>
        <v>0.44604602377471236</v>
      </c>
      <c r="U103" s="107">
        <f t="shared" si="89"/>
        <v>0.28524956268624724</v>
      </c>
      <c r="V103" s="107">
        <f t="shared" si="89"/>
        <v>0.35133341655552131</v>
      </c>
      <c r="W103" s="107">
        <f t="shared" si="89"/>
        <v>0.56666921799748016</v>
      </c>
      <c r="X103" s="106"/>
      <c r="Y103" s="107"/>
      <c r="Z103" s="107">
        <f t="shared" ref="Z103:AC103" si="90">Z27/Y27-1</f>
        <v>0.20650976373882957</v>
      </c>
      <c r="AA103" s="107">
        <f t="shared" si="90"/>
        <v>0.32860782611636585</v>
      </c>
      <c r="AB103" s="107">
        <f t="shared" si="90"/>
        <v>0.50790755032109614</v>
      </c>
      <c r="AC103" s="107">
        <f t="shared" si="90"/>
        <v>0.39440283984600311</v>
      </c>
      <c r="AD103" s="106"/>
      <c r="AE103" s="107"/>
      <c r="AF103" s="107">
        <f>AF27/AE27-1</f>
        <v>0.41704386275800376</v>
      </c>
    </row>
    <row r="104" spans="1:32" ht="12.75" x14ac:dyDescent="0.2">
      <c r="A104" s="41"/>
      <c r="B104" s="37"/>
      <c r="C104" s="104"/>
      <c r="D104" s="104"/>
      <c r="E104" s="104"/>
      <c r="F104" s="104"/>
      <c r="G104" s="104"/>
      <c r="H104" s="104"/>
      <c r="I104" s="104"/>
      <c r="J104" s="104"/>
      <c r="K104" s="108"/>
      <c r="L104" s="108"/>
      <c r="M104" s="108"/>
      <c r="N104" s="108"/>
      <c r="O104" s="108"/>
      <c r="P104" s="108"/>
      <c r="Q104" s="108"/>
      <c r="R104" s="108"/>
      <c r="S104" s="108"/>
      <c r="T104" s="108"/>
      <c r="U104" s="108"/>
      <c r="V104" s="108"/>
      <c r="W104" s="108"/>
      <c r="X104" s="106"/>
      <c r="Y104" s="107"/>
      <c r="Z104" s="107"/>
      <c r="AA104" s="107"/>
      <c r="AB104" s="107"/>
      <c r="AC104" s="107"/>
      <c r="AD104" s="106"/>
      <c r="AE104" s="107"/>
      <c r="AF104" s="107"/>
    </row>
    <row r="105" spans="1:32" ht="12.75" x14ac:dyDescent="0.2">
      <c r="A105" s="41" t="s">
        <v>141</v>
      </c>
      <c r="B105" s="37"/>
      <c r="C105" s="104"/>
      <c r="D105" s="104"/>
      <c r="E105" s="104"/>
      <c r="F105" s="104"/>
      <c r="G105" s="109" t="s">
        <v>169</v>
      </c>
      <c r="H105" s="109" t="s">
        <v>169</v>
      </c>
      <c r="I105" s="109" t="s">
        <v>169</v>
      </c>
      <c r="J105" s="109" t="s">
        <v>169</v>
      </c>
      <c r="K105" s="109" t="s">
        <v>169</v>
      </c>
      <c r="L105" s="107">
        <f t="shared" ref="L105:W105" si="91">L31/H31-1</f>
        <v>1.9071212362593597</v>
      </c>
      <c r="M105" s="107">
        <f t="shared" si="91"/>
        <v>1.9513894863632455</v>
      </c>
      <c r="N105" s="107">
        <f t="shared" si="91"/>
        <v>0.38233813311851783</v>
      </c>
      <c r="O105" s="107">
        <f t="shared" si="91"/>
        <v>0.32817761332099904</v>
      </c>
      <c r="P105" s="107">
        <f t="shared" si="91"/>
        <v>0.87204077159140736</v>
      </c>
      <c r="Q105" s="107">
        <f t="shared" si="91"/>
        <v>1.0696420242537314</v>
      </c>
      <c r="R105" s="107">
        <f t="shared" si="91"/>
        <v>0.97431041181041178</v>
      </c>
      <c r="S105" s="107">
        <f t="shared" si="91"/>
        <v>0.7188666629520255</v>
      </c>
      <c r="T105" s="107">
        <f t="shared" si="91"/>
        <v>0.54128977488949381</v>
      </c>
      <c r="U105" s="107">
        <f t="shared" si="91"/>
        <v>0.84969787455807988</v>
      </c>
      <c r="V105" s="107">
        <f t="shared" si="91"/>
        <v>0.45774197515680726</v>
      </c>
      <c r="W105" s="107">
        <f t="shared" si="91"/>
        <v>-0.84876087978345782</v>
      </c>
      <c r="X105" s="106"/>
      <c r="Y105" s="107"/>
      <c r="Z105" s="77" t="s">
        <v>169</v>
      </c>
      <c r="AA105" s="107">
        <f t="shared" ref="AA105:AC105" si="92">AA31/Z31-1</f>
        <v>2.0968654621605363</v>
      </c>
      <c r="AB105" s="107">
        <f t="shared" si="92"/>
        <v>0.84536972426245782</v>
      </c>
      <c r="AC105" s="107">
        <f t="shared" si="92"/>
        <v>0.62501218214351151</v>
      </c>
      <c r="AD105" s="106"/>
      <c r="AE105" s="107"/>
      <c r="AF105" s="107">
        <f>AF31/AE31-1</f>
        <v>0.29101464264715249</v>
      </c>
    </row>
    <row r="106" spans="1:32" ht="12.75" x14ac:dyDescent="0.2">
      <c r="A106" s="2"/>
      <c r="B106" s="3"/>
      <c r="C106" s="34"/>
      <c r="D106" s="34"/>
      <c r="E106" s="34"/>
      <c r="F106" s="34"/>
      <c r="G106" s="34"/>
      <c r="H106" s="34"/>
      <c r="I106" s="34"/>
      <c r="J106" s="34"/>
      <c r="K106" s="34"/>
      <c r="L106" s="34"/>
      <c r="M106" s="34"/>
      <c r="N106" s="34"/>
      <c r="O106" s="34"/>
      <c r="P106" s="34"/>
      <c r="Q106" s="34"/>
      <c r="R106" s="34"/>
      <c r="S106" s="34"/>
      <c r="T106" s="24"/>
      <c r="U106" s="24"/>
      <c r="V106" s="24"/>
      <c r="W106" s="24"/>
      <c r="X106" s="46"/>
      <c r="Y106" s="24"/>
      <c r="Z106" s="24"/>
      <c r="AA106" s="24"/>
      <c r="AB106" s="24"/>
      <c r="AC106" s="24"/>
      <c r="AD106" s="46"/>
      <c r="AE106" s="24"/>
      <c r="AF106" s="24"/>
    </row>
    <row r="107" spans="1:32" ht="18.75" x14ac:dyDescent="0.2">
      <c r="A107" s="62" t="s">
        <v>170</v>
      </c>
      <c r="B107" s="3"/>
      <c r="C107" s="34"/>
      <c r="D107" s="34"/>
      <c r="E107" s="34"/>
      <c r="F107" s="34"/>
      <c r="G107" s="34"/>
      <c r="H107" s="34"/>
      <c r="I107" s="34"/>
      <c r="J107" s="34"/>
      <c r="K107" s="34"/>
      <c r="L107" s="34"/>
      <c r="M107" s="34"/>
      <c r="N107" s="34"/>
      <c r="O107" s="34"/>
      <c r="P107" s="34"/>
      <c r="Q107" s="34"/>
      <c r="R107" s="34"/>
      <c r="S107" s="34"/>
      <c r="T107" s="24"/>
      <c r="U107" s="24"/>
      <c r="V107" s="24"/>
      <c r="W107" s="24"/>
      <c r="X107" s="46"/>
      <c r="Y107" s="24"/>
      <c r="Z107" s="24"/>
      <c r="AA107" s="24"/>
      <c r="AB107" s="24"/>
      <c r="AC107" s="24"/>
      <c r="AD107" s="46"/>
      <c r="AE107" s="24"/>
      <c r="AF107" s="24"/>
    </row>
    <row r="108" spans="1:32" ht="18.75" x14ac:dyDescent="0.2">
      <c r="A108" s="62" t="s">
        <v>171</v>
      </c>
      <c r="B108" s="3"/>
      <c r="C108" s="34"/>
      <c r="D108" s="34"/>
      <c r="E108" s="34"/>
      <c r="F108" s="34"/>
      <c r="G108" s="34"/>
      <c r="H108" s="34"/>
      <c r="I108" s="34"/>
      <c r="J108" s="34"/>
      <c r="K108" s="34"/>
      <c r="L108" s="34"/>
      <c r="M108" s="34"/>
      <c r="N108" s="34"/>
      <c r="O108" s="34"/>
      <c r="P108" s="34"/>
      <c r="Q108" s="34"/>
      <c r="R108" s="34"/>
      <c r="S108" s="34"/>
      <c r="T108" s="24"/>
      <c r="U108" s="24"/>
      <c r="V108" s="24"/>
      <c r="W108" s="24"/>
      <c r="X108" s="46"/>
      <c r="Y108" s="24"/>
      <c r="Z108" s="24"/>
      <c r="AA108" s="24"/>
      <c r="AB108" s="24"/>
      <c r="AC108" s="24"/>
      <c r="AD108" s="46"/>
      <c r="AE108" s="24"/>
      <c r="AF108" s="24"/>
    </row>
  </sheetData>
  <mergeCells count="7">
    <mergeCell ref="Y4:AC4"/>
    <mergeCell ref="AE4:AF4"/>
    <mergeCell ref="C4:F4"/>
    <mergeCell ref="G4:J4"/>
    <mergeCell ref="K4:N4"/>
    <mergeCell ref="O4:R4"/>
    <mergeCell ref="S4:V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F37"/>
  <sheetViews>
    <sheetView showGridLines="0" workbookViewId="0">
      <pane xSplit="1" ySplit="7" topLeftCell="B8" activePane="bottomRight" state="frozen"/>
      <selection pane="topRight" activeCell="B1" sqref="B1"/>
      <selection pane="bottomLeft" activeCell="A8" sqref="A8"/>
      <selection pane="bottomRight" activeCell="B8" sqref="B8"/>
    </sheetView>
  </sheetViews>
  <sheetFormatPr defaultColWidth="14.42578125" defaultRowHeight="15.75" customHeight="1" outlineLevelRow="1" outlineLevelCol="1" x14ac:dyDescent="0.2"/>
  <cols>
    <col min="1" max="1" width="40.5703125" customWidth="1"/>
    <col min="2" max="2" width="4.7109375" customWidth="1" collapsed="1"/>
    <col min="3" max="10" width="12.7109375" hidden="1" customWidth="1" outlineLevel="1"/>
    <col min="11" max="28" width="12.7109375" customWidth="1"/>
    <col min="29" max="29" width="13.42578125" bestFit="1" customWidth="1"/>
    <col min="30" max="30" width="7.5703125" customWidth="1"/>
  </cols>
  <sheetData>
    <row r="1" spans="1:32" ht="12.75" x14ac:dyDescent="0.2">
      <c r="A1" s="1"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2.75" x14ac:dyDescent="0.2">
      <c r="A2" s="8" t="s">
        <v>22</v>
      </c>
      <c r="B2" s="3"/>
      <c r="X2" s="3"/>
      <c r="Y2" s="3"/>
      <c r="Z2" s="3"/>
      <c r="AA2" s="3"/>
      <c r="AB2" s="3"/>
      <c r="AC2" s="3"/>
      <c r="AD2" s="10"/>
      <c r="AE2" s="3"/>
      <c r="AF2" s="3"/>
    </row>
    <row r="3" spans="1:32" ht="12.75" x14ac:dyDescent="0.2">
      <c r="A3" s="8" t="s">
        <v>9</v>
      </c>
      <c r="B3" s="3"/>
      <c r="W3" s="11" t="s">
        <v>11</v>
      </c>
      <c r="X3" s="3"/>
      <c r="Y3" s="3"/>
      <c r="Z3" s="3"/>
      <c r="AA3" s="3"/>
      <c r="AB3" s="3"/>
      <c r="AC3" s="3"/>
      <c r="AD3" s="10"/>
      <c r="AE3" s="3"/>
      <c r="AF3" s="3"/>
    </row>
    <row r="4" spans="1:32" ht="12.75" collapsed="1" x14ac:dyDescent="0.2">
      <c r="A4" s="8" t="s">
        <v>12</v>
      </c>
      <c r="B4" s="3"/>
      <c r="C4" s="110" t="s">
        <v>13</v>
      </c>
      <c r="D4" s="111"/>
      <c r="E4" s="111"/>
      <c r="F4" s="111"/>
      <c r="G4" s="110" t="s">
        <v>13</v>
      </c>
      <c r="H4" s="111"/>
      <c r="I4" s="111"/>
      <c r="J4" s="111"/>
      <c r="K4" s="110" t="s">
        <v>13</v>
      </c>
      <c r="L4" s="111"/>
      <c r="M4" s="111"/>
      <c r="N4" s="111"/>
      <c r="O4" s="110" t="s">
        <v>13</v>
      </c>
      <c r="P4" s="111"/>
      <c r="Q4" s="111"/>
      <c r="R4" s="111"/>
      <c r="S4" s="110" t="s">
        <v>13</v>
      </c>
      <c r="T4" s="111"/>
      <c r="U4" s="111"/>
      <c r="V4" s="111"/>
      <c r="W4" s="17" t="s">
        <v>17</v>
      </c>
      <c r="X4" s="1"/>
      <c r="Y4" s="110" t="s">
        <v>14</v>
      </c>
      <c r="Z4" s="111"/>
      <c r="AA4" s="111"/>
      <c r="AB4" s="111"/>
      <c r="AC4" s="111"/>
      <c r="AD4" s="3"/>
      <c r="AE4" s="110" t="s">
        <v>24</v>
      </c>
      <c r="AF4" s="111"/>
    </row>
    <row r="5" spans="1:32" ht="12.75" hidden="1" outlineLevel="1" x14ac:dyDescent="0.2">
      <c r="A5" s="14"/>
      <c r="B5" s="14"/>
      <c r="C5" s="15">
        <v>42094</v>
      </c>
      <c r="D5" s="18">
        <f t="shared" ref="D5:V5" si="0">EOMONTH(C5,3)</f>
        <v>42185</v>
      </c>
      <c r="E5" s="18">
        <f t="shared" si="0"/>
        <v>42277</v>
      </c>
      <c r="F5" s="18">
        <f t="shared" si="0"/>
        <v>42369</v>
      </c>
      <c r="G5" s="18">
        <f t="shared" si="0"/>
        <v>42460</v>
      </c>
      <c r="H5" s="18">
        <f t="shared" si="0"/>
        <v>42551</v>
      </c>
      <c r="I5" s="18">
        <f t="shared" si="0"/>
        <v>42643</v>
      </c>
      <c r="J5" s="18">
        <f t="shared" si="0"/>
        <v>42735</v>
      </c>
      <c r="K5" s="18">
        <f t="shared" si="0"/>
        <v>42825</v>
      </c>
      <c r="L5" s="18">
        <f t="shared" si="0"/>
        <v>42916</v>
      </c>
      <c r="M5" s="18">
        <f t="shared" si="0"/>
        <v>43008</v>
      </c>
      <c r="N5" s="18">
        <f t="shared" si="0"/>
        <v>43100</v>
      </c>
      <c r="O5" s="18">
        <f t="shared" si="0"/>
        <v>43190</v>
      </c>
      <c r="P5" s="18">
        <f t="shared" si="0"/>
        <v>43281</v>
      </c>
      <c r="Q5" s="18">
        <f t="shared" si="0"/>
        <v>43373</v>
      </c>
      <c r="R5" s="18">
        <f t="shared" si="0"/>
        <v>43465</v>
      </c>
      <c r="S5" s="18">
        <f t="shared" si="0"/>
        <v>43555</v>
      </c>
      <c r="T5" s="18">
        <f t="shared" si="0"/>
        <v>43646</v>
      </c>
      <c r="U5" s="18">
        <f t="shared" si="0"/>
        <v>43738</v>
      </c>
      <c r="V5" s="18">
        <f t="shared" si="0"/>
        <v>43830</v>
      </c>
      <c r="W5" s="18">
        <v>43921</v>
      </c>
      <c r="X5" s="1"/>
      <c r="Y5" s="1"/>
      <c r="Z5" s="1"/>
      <c r="AA5" s="1"/>
      <c r="AB5" s="1"/>
      <c r="AC5" s="1"/>
      <c r="AD5" s="14"/>
      <c r="AE5" s="18">
        <f>EOMONTH(AF5,-12)</f>
        <v>43555</v>
      </c>
      <c r="AF5" s="19">
        <v>43921</v>
      </c>
    </row>
    <row r="6" spans="1:32" ht="12.75" x14ac:dyDescent="0.2">
      <c r="A6" s="14"/>
      <c r="B6" s="14"/>
      <c r="C6" s="20" t="s">
        <v>18</v>
      </c>
      <c r="D6" s="20" t="s">
        <v>19</v>
      </c>
      <c r="E6" s="20" t="s">
        <v>20</v>
      </c>
      <c r="F6" s="20" t="s">
        <v>21</v>
      </c>
      <c r="G6" s="20" t="s">
        <v>18</v>
      </c>
      <c r="H6" s="20" t="s">
        <v>19</v>
      </c>
      <c r="I6" s="20" t="s">
        <v>20</v>
      </c>
      <c r="J6" s="20" t="s">
        <v>21</v>
      </c>
      <c r="K6" s="20" t="s">
        <v>18</v>
      </c>
      <c r="L6" s="20" t="s">
        <v>19</v>
      </c>
      <c r="M6" s="20" t="s">
        <v>20</v>
      </c>
      <c r="N6" s="20" t="s">
        <v>21</v>
      </c>
      <c r="O6" s="20" t="s">
        <v>18</v>
      </c>
      <c r="P6" s="20" t="s">
        <v>19</v>
      </c>
      <c r="Q6" s="20" t="s">
        <v>20</v>
      </c>
      <c r="R6" s="20" t="s">
        <v>21</v>
      </c>
      <c r="S6" s="20" t="s">
        <v>18</v>
      </c>
      <c r="T6" s="20" t="s">
        <v>19</v>
      </c>
      <c r="U6" s="20" t="s">
        <v>20</v>
      </c>
      <c r="V6" s="20" t="s">
        <v>21</v>
      </c>
      <c r="W6" s="20" t="s">
        <v>18</v>
      </c>
      <c r="X6" s="1"/>
      <c r="Y6" s="1" t="s">
        <v>21</v>
      </c>
      <c r="Z6" s="1" t="s">
        <v>21</v>
      </c>
      <c r="AA6" s="1" t="s">
        <v>21</v>
      </c>
      <c r="AB6" s="1" t="s">
        <v>21</v>
      </c>
      <c r="AC6" s="1" t="s">
        <v>21</v>
      </c>
      <c r="AD6" s="14"/>
      <c r="AE6" s="20" t="s">
        <v>18</v>
      </c>
      <c r="AF6" s="20" t="s">
        <v>18</v>
      </c>
    </row>
    <row r="7" spans="1:32" ht="12.75" x14ac:dyDescent="0.2">
      <c r="A7" s="21"/>
      <c r="B7" s="14"/>
      <c r="C7" s="1">
        <v>2015</v>
      </c>
      <c r="D7" s="1">
        <v>2015</v>
      </c>
      <c r="E7" s="1">
        <v>2015</v>
      </c>
      <c r="F7" s="1">
        <v>2015</v>
      </c>
      <c r="G7" s="1">
        <v>2016</v>
      </c>
      <c r="H7" s="1">
        <v>2016</v>
      </c>
      <c r="I7" s="1">
        <v>2016</v>
      </c>
      <c r="J7" s="1">
        <v>2016</v>
      </c>
      <c r="K7" s="1">
        <v>2017</v>
      </c>
      <c r="L7" s="1">
        <v>2017</v>
      </c>
      <c r="M7" s="1">
        <v>2017</v>
      </c>
      <c r="N7" s="1">
        <v>2017</v>
      </c>
      <c r="O7" s="1">
        <v>2018</v>
      </c>
      <c r="P7" s="1">
        <v>2018</v>
      </c>
      <c r="Q7" s="1">
        <v>2018</v>
      </c>
      <c r="R7" s="1">
        <v>2018</v>
      </c>
      <c r="S7" s="1">
        <v>2019</v>
      </c>
      <c r="T7" s="1">
        <v>2019</v>
      </c>
      <c r="U7" s="1">
        <v>2019</v>
      </c>
      <c r="V7" s="1">
        <v>2019</v>
      </c>
      <c r="W7" s="1">
        <v>2020</v>
      </c>
      <c r="X7" s="1"/>
      <c r="Y7" s="1">
        <v>2015</v>
      </c>
      <c r="Z7" s="1">
        <v>2016</v>
      </c>
      <c r="AA7" s="1">
        <v>2017</v>
      </c>
      <c r="AB7" s="1">
        <v>2018</v>
      </c>
      <c r="AC7" s="1">
        <v>2019</v>
      </c>
      <c r="AD7" s="14"/>
      <c r="AE7" s="1">
        <v>2019</v>
      </c>
      <c r="AF7" s="1">
        <v>2020</v>
      </c>
    </row>
    <row r="8" spans="1:32" ht="12.75" x14ac:dyDescent="0.2">
      <c r="A8" s="21" t="s">
        <v>22</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ht="12.75" x14ac:dyDescent="0.2">
      <c r="A9" s="9"/>
      <c r="B9" s="3"/>
      <c r="C9" s="22"/>
      <c r="D9" s="22"/>
      <c r="E9" s="22"/>
      <c r="F9" s="22"/>
      <c r="G9" s="22"/>
      <c r="H9" s="22"/>
      <c r="I9" s="22"/>
      <c r="J9" s="22"/>
      <c r="K9" s="25"/>
      <c r="L9" s="22"/>
      <c r="M9" s="22"/>
      <c r="N9" s="22"/>
      <c r="O9" s="25"/>
      <c r="P9" s="22"/>
      <c r="Q9" s="22"/>
      <c r="R9" s="22"/>
      <c r="S9" s="25"/>
      <c r="T9" s="22"/>
      <c r="U9" s="22"/>
      <c r="V9" s="22"/>
      <c r="W9" s="22"/>
      <c r="X9" s="3"/>
      <c r="Y9" s="3"/>
      <c r="Z9" s="3"/>
      <c r="AA9" s="3"/>
      <c r="AB9" s="3"/>
      <c r="AC9" s="3"/>
      <c r="AD9" s="3"/>
      <c r="AE9" s="3"/>
      <c r="AF9" s="3"/>
    </row>
    <row r="10" spans="1:32" ht="12.75" x14ac:dyDescent="0.2">
      <c r="A10" s="9" t="s">
        <v>28</v>
      </c>
      <c r="B10" s="3"/>
      <c r="C10" s="23">
        <v>7117000</v>
      </c>
      <c r="D10" s="23">
        <v>8793000</v>
      </c>
      <c r="E10" s="23">
        <v>9540000</v>
      </c>
      <c r="F10" s="23">
        <v>10193000</v>
      </c>
      <c r="G10" s="23">
        <v>10290000</v>
      </c>
      <c r="H10" s="23">
        <v>12450837</v>
      </c>
      <c r="I10" s="23">
        <v>13248135</v>
      </c>
      <c r="J10" s="23">
        <v>13693983</v>
      </c>
      <c r="K10" s="23">
        <v>13647000</v>
      </c>
      <c r="L10" s="23">
        <v>16421173</v>
      </c>
      <c r="M10" s="23">
        <v>17386205</v>
      </c>
      <c r="N10" s="23">
        <v>17888400</v>
      </c>
      <c r="O10" s="23">
        <v>17826540</v>
      </c>
      <c r="P10" s="23">
        <v>21371512</v>
      </c>
      <c r="Q10" s="23">
        <v>22497848</v>
      </c>
      <c r="R10" s="23">
        <v>22957891</v>
      </c>
      <c r="S10" s="23">
        <v>22586500</v>
      </c>
      <c r="T10" s="23">
        <v>26784714</v>
      </c>
      <c r="U10" s="23">
        <v>28228259</v>
      </c>
      <c r="V10" s="23">
        <v>28639221</v>
      </c>
      <c r="W10" s="23">
        <v>25742640</v>
      </c>
      <c r="X10" s="22"/>
      <c r="Y10" s="22">
        <f t="shared" ref="Y10:AB10" si="1">SUMIFS($C10:$U10,$C$7:$U$7,Y$7)</f>
        <v>35643000</v>
      </c>
      <c r="Z10" s="22">
        <f t="shared" si="1"/>
        <v>49682955</v>
      </c>
      <c r="AA10" s="22">
        <f t="shared" si="1"/>
        <v>65342778</v>
      </c>
      <c r="AB10" s="22">
        <f t="shared" si="1"/>
        <v>84653791</v>
      </c>
      <c r="AC10" s="22">
        <f>SUMIFS($C10:$V10,$C$7:$V$7,AC$7)</f>
        <v>106238694</v>
      </c>
      <c r="AD10" s="3"/>
      <c r="AE10" s="22">
        <f t="shared" ref="AE10:AF10" si="2">SUMIFS($C10:$W10,$C$5:$W$5,"&lt;="&amp;AE$5,$C$5:$W$5,"&gt;"&amp;EOMONTH(AE$5,-12))</f>
        <v>89413751</v>
      </c>
      <c r="AF10" s="22">
        <f t="shared" si="2"/>
        <v>109394834</v>
      </c>
    </row>
    <row r="11" spans="1:32" ht="12.75" x14ac:dyDescent="0.2">
      <c r="A11" s="33" t="s">
        <v>29</v>
      </c>
      <c r="B11" s="37"/>
      <c r="C11" s="37"/>
      <c r="D11" s="37"/>
      <c r="E11" s="37"/>
      <c r="F11" s="37"/>
      <c r="G11" s="39">
        <f t="shared" ref="G11:W11" si="3">G10/C10-1</f>
        <v>0.44583391878600542</v>
      </c>
      <c r="H11" s="39">
        <f t="shared" si="3"/>
        <v>0.41599419993176401</v>
      </c>
      <c r="I11" s="39">
        <f t="shared" si="3"/>
        <v>0.38869339622641519</v>
      </c>
      <c r="J11" s="39">
        <f t="shared" si="3"/>
        <v>0.3434693417050918</v>
      </c>
      <c r="K11" s="39">
        <f t="shared" si="3"/>
        <v>0.32623906705539363</v>
      </c>
      <c r="L11" s="39">
        <f t="shared" si="3"/>
        <v>0.3188810519324925</v>
      </c>
      <c r="M11" s="39">
        <f t="shared" si="3"/>
        <v>0.31235113470688525</v>
      </c>
      <c r="N11" s="39">
        <f t="shared" si="3"/>
        <v>0.30629634927982607</v>
      </c>
      <c r="O11" s="39">
        <f t="shared" si="3"/>
        <v>0.30626071664102006</v>
      </c>
      <c r="P11" s="39">
        <f t="shared" si="3"/>
        <v>0.30146074217718799</v>
      </c>
      <c r="Q11" s="39">
        <f t="shared" si="3"/>
        <v>0.29400567864004823</v>
      </c>
      <c r="R11" s="39">
        <f t="shared" si="3"/>
        <v>0.28339544062073752</v>
      </c>
      <c r="S11" s="39">
        <f t="shared" si="3"/>
        <v>0.26701536024377126</v>
      </c>
      <c r="T11" s="39">
        <f t="shared" si="3"/>
        <v>0.25329054865186884</v>
      </c>
      <c r="U11" s="39">
        <f t="shared" si="3"/>
        <v>0.25470929486233529</v>
      </c>
      <c r="V11" s="39">
        <f t="shared" si="3"/>
        <v>0.24746741762995561</v>
      </c>
      <c r="W11" s="39">
        <f t="shared" si="3"/>
        <v>0.1397356828193832</v>
      </c>
      <c r="X11" s="37"/>
      <c r="Y11" s="37"/>
      <c r="Z11" s="39">
        <f t="shared" ref="Z11:AC11" si="4">Z10/Y10-1</f>
        <v>0.39390497432876015</v>
      </c>
      <c r="AA11" s="39">
        <f t="shared" si="4"/>
        <v>0.31519508048585276</v>
      </c>
      <c r="AB11" s="39">
        <f t="shared" si="4"/>
        <v>0.2955340068339305</v>
      </c>
      <c r="AC11" s="39">
        <f t="shared" si="4"/>
        <v>0.25497857502920329</v>
      </c>
      <c r="AD11" s="37"/>
      <c r="AE11" s="37"/>
      <c r="AF11" s="39">
        <f>AF10/AE10-1</f>
        <v>0.22346767445199789</v>
      </c>
    </row>
    <row r="12" spans="1:32" ht="12.75" x14ac:dyDescent="0.2">
      <c r="A12" s="21"/>
      <c r="B12" s="3"/>
      <c r="X12" s="3"/>
      <c r="Y12" s="3"/>
      <c r="Z12" s="3"/>
      <c r="AA12" s="3"/>
      <c r="AB12" s="3"/>
      <c r="AC12" s="3"/>
      <c r="AD12" s="3"/>
      <c r="AE12" s="3"/>
      <c r="AF12" s="3"/>
    </row>
    <row r="13" spans="1:32" ht="12.75" x14ac:dyDescent="0.2">
      <c r="A13" s="21" t="s">
        <v>38</v>
      </c>
      <c r="B13" s="3"/>
      <c r="X13" s="3"/>
      <c r="Y13" s="3"/>
      <c r="Z13" s="3"/>
      <c r="AA13" s="3"/>
      <c r="AB13" s="3"/>
      <c r="AC13" s="3"/>
      <c r="AD13" s="3"/>
      <c r="AE13" s="3"/>
      <c r="AF13" s="3"/>
    </row>
    <row r="14" spans="1:32" ht="12.75" x14ac:dyDescent="0.2">
      <c r="A14" s="41" t="s">
        <v>39</v>
      </c>
      <c r="B14" s="3"/>
      <c r="C14" s="42">
        <v>0.66</v>
      </c>
      <c r="D14" s="42">
        <v>0.63</v>
      </c>
      <c r="E14" s="42">
        <v>0.62</v>
      </c>
      <c r="F14" s="42">
        <v>0.61</v>
      </c>
      <c r="G14" s="42">
        <v>0.61</v>
      </c>
      <c r="H14" s="42">
        <v>0.57999999999999996</v>
      </c>
      <c r="I14" s="42">
        <v>0.56999999999999995</v>
      </c>
      <c r="J14" s="42">
        <v>0.56999999999999995</v>
      </c>
      <c r="K14" s="42">
        <v>0.56999999999999995</v>
      </c>
      <c r="L14" s="42">
        <v>0.54</v>
      </c>
      <c r="M14" s="42">
        <v>0.52</v>
      </c>
      <c r="N14" s="42">
        <v>0.53</v>
      </c>
      <c r="O14" s="42">
        <v>0.53</v>
      </c>
      <c r="P14" s="42">
        <v>0.5</v>
      </c>
      <c r="Q14" s="42">
        <v>0.48</v>
      </c>
      <c r="R14" s="42">
        <v>0.49</v>
      </c>
      <c r="S14" s="42">
        <v>0.49</v>
      </c>
      <c r="T14" s="42">
        <v>0.46</v>
      </c>
      <c r="U14" s="42">
        <v>0.45</v>
      </c>
      <c r="V14" s="42">
        <v>0.45</v>
      </c>
      <c r="W14" s="42">
        <v>0.48</v>
      </c>
      <c r="X14" s="3"/>
      <c r="Y14" s="3"/>
      <c r="Z14" s="3"/>
      <c r="AA14" s="3"/>
      <c r="AB14" s="3"/>
      <c r="AC14" s="3"/>
      <c r="AD14" s="3"/>
      <c r="AE14" s="3"/>
      <c r="AF14" s="3"/>
    </row>
    <row r="15" spans="1:32" ht="12.75" x14ac:dyDescent="0.2">
      <c r="A15" s="33" t="s">
        <v>41</v>
      </c>
      <c r="B15" s="3"/>
      <c r="C15" s="42">
        <v>0.24</v>
      </c>
      <c r="D15" s="42">
        <v>0.25</v>
      </c>
      <c r="E15" s="42">
        <v>0.26</v>
      </c>
      <c r="F15" s="42">
        <v>0.26</v>
      </c>
      <c r="G15" s="42">
        <v>0.26</v>
      </c>
      <c r="H15" s="42">
        <v>0.27</v>
      </c>
      <c r="I15" s="42">
        <v>0.27</v>
      </c>
      <c r="J15" s="42">
        <v>0.27</v>
      </c>
      <c r="K15" s="42">
        <v>0.27</v>
      </c>
      <c r="L15" s="42">
        <v>0.27</v>
      </c>
      <c r="M15" s="42">
        <v>0.27</v>
      </c>
      <c r="N15" s="42">
        <v>0.27</v>
      </c>
      <c r="O15" s="42">
        <v>0.27</v>
      </c>
      <c r="P15" s="42">
        <v>0.28000000000000003</v>
      </c>
      <c r="Q15" s="42">
        <v>0.28000000000000003</v>
      </c>
      <c r="R15" s="42">
        <v>0.28000000000000003</v>
      </c>
      <c r="S15" s="42">
        <v>0.28000000000000003</v>
      </c>
      <c r="T15" s="42">
        <v>0.28000000000000003</v>
      </c>
      <c r="U15" s="42">
        <v>0.28000000000000003</v>
      </c>
      <c r="V15" s="42">
        <v>0.27</v>
      </c>
      <c r="W15" s="42">
        <v>0.28000000000000003</v>
      </c>
      <c r="X15" s="3"/>
      <c r="Y15" s="3"/>
      <c r="Z15" s="3"/>
      <c r="AA15" s="3"/>
      <c r="AB15" s="3"/>
      <c r="AC15" s="3"/>
      <c r="AD15" s="3"/>
      <c r="AE15" s="3"/>
      <c r="AF15" s="3"/>
    </row>
    <row r="16" spans="1:32" ht="12.75" x14ac:dyDescent="0.2">
      <c r="A16" s="33" t="s">
        <v>42</v>
      </c>
      <c r="B16" s="3"/>
      <c r="C16" s="42">
        <v>0.1</v>
      </c>
      <c r="D16" s="42">
        <v>0.11</v>
      </c>
      <c r="E16" s="42">
        <v>0.12</v>
      </c>
      <c r="F16" s="42">
        <v>0.13</v>
      </c>
      <c r="G16" s="42">
        <v>0.13</v>
      </c>
      <c r="H16" s="42">
        <v>0.15</v>
      </c>
      <c r="I16" s="42">
        <v>0.16</v>
      </c>
      <c r="J16" s="42">
        <v>0.16</v>
      </c>
      <c r="K16" s="42">
        <v>0.16</v>
      </c>
      <c r="L16" s="42">
        <v>0.19</v>
      </c>
      <c r="M16" s="42">
        <v>0.2</v>
      </c>
      <c r="N16" s="42">
        <v>0.2</v>
      </c>
      <c r="O16" s="42">
        <v>0.2</v>
      </c>
      <c r="P16" s="42">
        <v>0.22</v>
      </c>
      <c r="Q16" s="42">
        <v>0.24</v>
      </c>
      <c r="R16" s="42">
        <v>0.24</v>
      </c>
      <c r="S16" s="42">
        <v>0.23</v>
      </c>
      <c r="T16" s="42">
        <v>0.26</v>
      </c>
      <c r="U16" s="42">
        <v>0.27</v>
      </c>
      <c r="V16" s="42">
        <v>0.27</v>
      </c>
      <c r="W16" s="42">
        <v>0.25</v>
      </c>
      <c r="X16" s="3"/>
      <c r="Y16" s="3"/>
      <c r="Z16" s="3"/>
      <c r="AA16" s="3"/>
      <c r="AB16" s="3"/>
      <c r="AC16" s="3"/>
      <c r="AD16" s="3"/>
      <c r="AE16" s="3"/>
      <c r="AF16" s="3"/>
    </row>
    <row r="17" spans="1:32" ht="12.75" x14ac:dyDescent="0.2">
      <c r="A17" s="33" t="s">
        <v>44</v>
      </c>
      <c r="B17" s="3"/>
      <c r="C17" s="42">
        <v>0.34</v>
      </c>
      <c r="D17" s="42">
        <v>0.37</v>
      </c>
      <c r="E17" s="42">
        <v>0.38</v>
      </c>
      <c r="F17" s="42">
        <v>0.39</v>
      </c>
      <c r="G17" s="42">
        <v>0.39</v>
      </c>
      <c r="H17" s="42">
        <v>0.42</v>
      </c>
      <c r="I17" s="42">
        <v>0.43</v>
      </c>
      <c r="J17" s="42">
        <v>0.43</v>
      </c>
      <c r="K17" s="42">
        <v>0.43</v>
      </c>
      <c r="L17" s="42">
        <v>0.46</v>
      </c>
      <c r="M17" s="42">
        <v>0.48</v>
      </c>
      <c r="N17" s="42">
        <v>0.47</v>
      </c>
      <c r="O17" s="42">
        <v>0.47</v>
      </c>
      <c r="P17" s="42">
        <v>0.5</v>
      </c>
      <c r="Q17" s="42">
        <v>0.52</v>
      </c>
      <c r="R17" s="42">
        <v>0.51</v>
      </c>
      <c r="S17" s="42">
        <v>0.51</v>
      </c>
      <c r="T17" s="42">
        <v>0.54</v>
      </c>
      <c r="U17" s="42">
        <v>0.55000000000000004</v>
      </c>
      <c r="V17" s="42">
        <v>0.55000000000000004</v>
      </c>
      <c r="W17" s="42">
        <v>0.52</v>
      </c>
      <c r="X17" s="3"/>
      <c r="Y17" s="3"/>
      <c r="Z17" s="3"/>
      <c r="AA17" s="3"/>
      <c r="AB17" s="3"/>
      <c r="AC17" s="3"/>
      <c r="AD17" s="3"/>
      <c r="AE17" s="3"/>
      <c r="AF17" s="3"/>
    </row>
    <row r="18" spans="1:32" ht="12.75" x14ac:dyDescent="0.2">
      <c r="A18" s="9"/>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ht="12.75" x14ac:dyDescent="0.2">
      <c r="A19" s="9" t="s">
        <v>47</v>
      </c>
      <c r="B19" s="3"/>
      <c r="C19" s="3"/>
      <c r="D19" s="3"/>
      <c r="E19" s="3"/>
      <c r="F19" s="3"/>
      <c r="G19" s="3"/>
      <c r="H19" s="3"/>
      <c r="I19" s="3"/>
      <c r="J19" s="3"/>
      <c r="K19" s="3"/>
      <c r="L19" s="3"/>
      <c r="M19" s="3"/>
      <c r="N19" s="3"/>
      <c r="O19" s="3"/>
      <c r="P19" s="3"/>
      <c r="Q19" s="3"/>
      <c r="R19" s="3"/>
      <c r="S19" s="3"/>
      <c r="T19" s="23">
        <v>260493</v>
      </c>
      <c r="U19" s="23">
        <v>307040</v>
      </c>
      <c r="V19" s="23">
        <v>360664</v>
      </c>
      <c r="W19" s="44">
        <v>527642</v>
      </c>
      <c r="X19" s="3"/>
      <c r="Y19" s="3"/>
      <c r="Z19" s="3"/>
      <c r="AA19" s="3"/>
      <c r="AB19" s="3"/>
      <c r="AC19" s="3"/>
      <c r="AD19" s="3"/>
      <c r="AE19" s="3"/>
      <c r="AF19" s="3"/>
    </row>
    <row r="20" spans="1:32" ht="12.75" x14ac:dyDescent="0.2">
      <c r="A20" s="9" t="s">
        <v>48</v>
      </c>
      <c r="B20" s="3"/>
      <c r="C20" s="3"/>
      <c r="D20" s="3"/>
      <c r="E20" s="3"/>
      <c r="F20" s="3"/>
      <c r="G20" s="3"/>
      <c r="H20" s="3"/>
      <c r="I20" s="3"/>
      <c r="J20" s="3"/>
      <c r="K20" s="3"/>
      <c r="L20" s="3"/>
      <c r="M20" s="3"/>
      <c r="N20" s="3"/>
      <c r="O20" s="3"/>
      <c r="P20" s="3"/>
      <c r="Q20" s="3"/>
      <c r="R20" s="3"/>
      <c r="S20" s="3"/>
      <c r="T20" s="45">
        <f>'GAAP IS'!T13</f>
        <v>125085</v>
      </c>
      <c r="U20" s="45">
        <f>'GAAP IS'!U13</f>
        <v>148285</v>
      </c>
      <c r="V20" s="45">
        <f>'GAAP IS'!V13</f>
        <v>177567</v>
      </c>
      <c r="W20" s="45">
        <f>'GAAP IS'!W13</f>
        <v>306098</v>
      </c>
      <c r="X20" s="3"/>
      <c r="Y20" s="3"/>
      <c r="Z20" s="3"/>
      <c r="AA20" s="3"/>
      <c r="AB20" s="3"/>
      <c r="AC20" s="3"/>
      <c r="AD20" s="3"/>
      <c r="AE20" s="3"/>
      <c r="AF20" s="3"/>
    </row>
    <row r="21" spans="1:32" ht="12.75" x14ac:dyDescent="0.2">
      <c r="A21" s="21" t="s">
        <v>50</v>
      </c>
      <c r="B21" s="3"/>
      <c r="C21" s="3"/>
      <c r="D21" s="3"/>
      <c r="E21" s="3"/>
      <c r="F21" s="3"/>
      <c r="G21" s="3"/>
      <c r="H21" s="3"/>
      <c r="I21" s="3"/>
      <c r="J21" s="3"/>
      <c r="K21" s="3"/>
      <c r="L21" s="3"/>
      <c r="M21" s="3"/>
      <c r="N21" s="3"/>
      <c r="O21" s="3"/>
      <c r="P21" s="3"/>
      <c r="Q21" s="3"/>
      <c r="R21" s="3"/>
      <c r="S21" s="3"/>
      <c r="T21" s="45">
        <f t="shared" ref="T21:W21" si="5">T19-T20</f>
        <v>135408</v>
      </c>
      <c r="U21" s="45">
        <f t="shared" si="5"/>
        <v>158755</v>
      </c>
      <c r="V21" s="45">
        <f t="shared" si="5"/>
        <v>183097</v>
      </c>
      <c r="W21" s="45">
        <f t="shared" si="5"/>
        <v>221544</v>
      </c>
      <c r="X21" s="3"/>
      <c r="Y21" s="3"/>
      <c r="Z21" s="3"/>
      <c r="AA21" s="3"/>
      <c r="AB21" s="3"/>
      <c r="AC21" s="3"/>
      <c r="AD21" s="3"/>
      <c r="AE21" s="3"/>
      <c r="AF21" s="3"/>
    </row>
    <row r="22" spans="1:32" ht="12.75" x14ac:dyDescent="0.2">
      <c r="A22" s="9"/>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48">
        <f>AC24-AB24</f>
        <v>146411.64800000002</v>
      </c>
      <c r="AD22" s="3"/>
      <c r="AE22" s="3"/>
      <c r="AF22" s="3"/>
    </row>
    <row r="23" spans="1:32" ht="12.75" x14ac:dyDescent="0.2">
      <c r="A23" s="21" t="s">
        <v>53</v>
      </c>
      <c r="B23" s="3"/>
      <c r="C23" s="45">
        <f>'GAAP IS'!C28</f>
        <v>36181</v>
      </c>
      <c r="D23" s="45">
        <f>'GAAP IS'!D28</f>
        <v>31730</v>
      </c>
      <c r="E23" s="45">
        <f>'GAAP IS'!E28</f>
        <v>39259</v>
      </c>
      <c r="F23" s="45">
        <f>'GAAP IS'!F28</f>
        <v>38448</v>
      </c>
      <c r="G23" s="45">
        <f>'GAAP IS'!G28</f>
        <v>38496</v>
      </c>
      <c r="H23" s="45">
        <f>'GAAP IS'!H28</f>
        <v>39220</v>
      </c>
      <c r="I23" s="45">
        <f>'GAAP IS'!I28</f>
        <v>46754</v>
      </c>
      <c r="J23" s="45">
        <f>'GAAP IS'!J28</f>
        <v>49406</v>
      </c>
      <c r="K23" s="45">
        <f>'GAAP IS'!K28</f>
        <v>49900</v>
      </c>
      <c r="L23" s="45">
        <f>'GAAP IS'!L28</f>
        <v>59916</v>
      </c>
      <c r="M23" s="45">
        <f>'GAAP IS'!M28</f>
        <v>66533</v>
      </c>
      <c r="N23" s="45">
        <f>'GAAP IS'!N28</f>
        <v>76821</v>
      </c>
      <c r="O23" s="45">
        <f>'GAAP IS'!O28</f>
        <v>77266</v>
      </c>
      <c r="P23" s="45">
        <f>'GAAP IS'!P28</f>
        <v>98243</v>
      </c>
      <c r="Q23" s="45">
        <f>'GAAP IS'!Q28</f>
        <v>116337</v>
      </c>
      <c r="R23" s="45">
        <f>'GAAP IS'!R28</f>
        <v>119305</v>
      </c>
      <c r="S23" s="45">
        <f>'GAAP IS'!S28</f>
        <v>133713</v>
      </c>
      <c r="T23" s="45">
        <f>'GAAP IS'!T28</f>
        <v>156421</v>
      </c>
      <c r="U23" s="45">
        <f>'GAAP IS'!U28</f>
        <v>149467</v>
      </c>
      <c r="V23" s="45">
        <f>'GAAP IS'!V28</f>
        <v>185231</v>
      </c>
      <c r="W23" s="45">
        <f>'GAAP IS'!W28</f>
        <v>194535</v>
      </c>
      <c r="X23" s="3"/>
      <c r="Y23" s="3"/>
      <c r="Z23" s="3"/>
      <c r="AA23" s="3"/>
      <c r="AB23" s="22">
        <f t="shared" ref="AB23:AC23" si="6">SUMIFS($C23:$V23,$C$7:$V$7,AB$7)</f>
        <v>411151</v>
      </c>
      <c r="AC23" s="22">
        <f t="shared" si="6"/>
        <v>624832</v>
      </c>
      <c r="AD23" s="3"/>
      <c r="AE23" s="3"/>
      <c r="AF23" s="3"/>
    </row>
    <row r="24" spans="1:32" ht="12.75" x14ac:dyDescent="0.2">
      <c r="A24" s="9" t="s">
        <v>58</v>
      </c>
      <c r="B24" s="3"/>
      <c r="C24" s="52">
        <v>2772.567</v>
      </c>
      <c r="D24" s="52">
        <v>2147.1350000000002</v>
      </c>
      <c r="E24" s="52">
        <v>3871.413</v>
      </c>
      <c r="F24" s="52">
        <v>3319.6010000000001</v>
      </c>
      <c r="G24" s="52">
        <v>4487.2669999999998</v>
      </c>
      <c r="H24" s="52">
        <v>3071.6320000000001</v>
      </c>
      <c r="I24" s="52">
        <v>6056.4440000000004</v>
      </c>
      <c r="J24" s="52">
        <v>6149.5379999999996</v>
      </c>
      <c r="K24" s="52">
        <v>8775.1239999999998</v>
      </c>
      <c r="L24" s="52">
        <v>10024.905000000001</v>
      </c>
      <c r="M24" s="52">
        <v>12436.387000000001</v>
      </c>
      <c r="N24" s="52">
        <v>16672.914000000001</v>
      </c>
      <c r="O24" s="52">
        <v>21692.951000000001</v>
      </c>
      <c r="P24" s="52">
        <v>32404.162</v>
      </c>
      <c r="Q24" s="52">
        <v>43112.597999999998</v>
      </c>
      <c r="R24" s="52">
        <v>46430.798000000003</v>
      </c>
      <c r="S24" s="52">
        <v>59368.071000000004</v>
      </c>
      <c r="T24" s="52">
        <v>69801.191999999995</v>
      </c>
      <c r="U24" s="52">
        <v>68444.304999999993</v>
      </c>
      <c r="V24" s="52">
        <v>92438.589000000007</v>
      </c>
      <c r="W24" s="52">
        <v>107959.69236</v>
      </c>
      <c r="X24" s="22"/>
      <c r="Y24" s="22">
        <f t="shared" ref="Y24:AA24" si="7">SUMIFS($C24:$U24,$C$7:$U$7,Y$7)</f>
        <v>12110.716</v>
      </c>
      <c r="Z24" s="22">
        <f t="shared" si="7"/>
        <v>19764.881000000001</v>
      </c>
      <c r="AA24" s="22">
        <f t="shared" si="7"/>
        <v>47909.33</v>
      </c>
      <c r="AB24" s="22">
        <f t="shared" ref="AB24:AC24" si="8">SUMIFS($C24:$V24,$C$7:$V$7,AB$7)</f>
        <v>143640.50899999999</v>
      </c>
      <c r="AC24" s="22">
        <f t="shared" si="8"/>
        <v>290052.15700000001</v>
      </c>
      <c r="AD24" s="22"/>
      <c r="AE24" s="22">
        <f t="shared" ref="AE24:AF24" si="9">SUMIFS($C24:$W24,$C$5:$W$5,"&lt;="&amp;AE$5,$C$5:$W$5,"&gt;"&amp;EOMONTH(AE$5,-12))</f>
        <v>181315.62899999999</v>
      </c>
      <c r="AF24" s="22">
        <f t="shared" si="9"/>
        <v>338643.77836</v>
      </c>
    </row>
    <row r="25" spans="1:32" ht="12.75" x14ac:dyDescent="0.2">
      <c r="A25" s="41" t="s">
        <v>63</v>
      </c>
      <c r="B25" s="37"/>
      <c r="C25" s="54"/>
      <c r="D25" s="54"/>
      <c r="E25" s="54"/>
      <c r="F25" s="54"/>
      <c r="G25" s="55">
        <f t="shared" ref="G25:W25" si="10">G24/C24-1</f>
        <v>0.61845214200414267</v>
      </c>
      <c r="H25" s="55">
        <f t="shared" si="10"/>
        <v>0.43057236736395232</v>
      </c>
      <c r="I25" s="55">
        <f t="shared" si="10"/>
        <v>0.56440142139317095</v>
      </c>
      <c r="J25" s="55">
        <f t="shared" si="10"/>
        <v>0.85249311588952992</v>
      </c>
      <c r="K25" s="55">
        <f t="shared" si="10"/>
        <v>0.95556092383181124</v>
      </c>
      <c r="L25" s="55">
        <f t="shared" si="10"/>
        <v>2.2637063945160101</v>
      </c>
      <c r="M25" s="55">
        <f t="shared" si="10"/>
        <v>1.0534140165417196</v>
      </c>
      <c r="N25" s="55">
        <f t="shared" si="10"/>
        <v>1.7112466009641705</v>
      </c>
      <c r="O25" s="55">
        <f t="shared" si="10"/>
        <v>1.4720962347654578</v>
      </c>
      <c r="P25" s="55">
        <f t="shared" si="10"/>
        <v>2.2323659924956893</v>
      </c>
      <c r="Q25" s="55">
        <f t="shared" si="10"/>
        <v>2.4666497592910219</v>
      </c>
      <c r="R25" s="55">
        <f t="shared" si="10"/>
        <v>1.7848040240596217</v>
      </c>
      <c r="S25" s="55">
        <f t="shared" si="10"/>
        <v>1.7367448071034688</v>
      </c>
      <c r="T25" s="55">
        <f t="shared" si="10"/>
        <v>1.154081071437675</v>
      </c>
      <c r="U25" s="55">
        <f t="shared" si="10"/>
        <v>0.58757087661476581</v>
      </c>
      <c r="V25" s="55">
        <f t="shared" si="10"/>
        <v>0.99088951691073679</v>
      </c>
      <c r="W25" s="55">
        <f t="shared" si="10"/>
        <v>0.81848071769082731</v>
      </c>
      <c r="X25" s="3"/>
      <c r="Y25" s="3"/>
      <c r="Z25" s="54">
        <f t="shared" ref="Z25:AC25" si="11">Z24/Y24-1</f>
        <v>0.63201589402311154</v>
      </c>
      <c r="AA25" s="54">
        <f t="shared" si="11"/>
        <v>1.4239624817371781</v>
      </c>
      <c r="AB25" s="54">
        <f t="shared" si="11"/>
        <v>1.9981740299853907</v>
      </c>
      <c r="AC25" s="54">
        <f t="shared" si="11"/>
        <v>1.0192921830985715</v>
      </c>
      <c r="AD25" s="3"/>
      <c r="AE25" s="54"/>
      <c r="AF25" s="54">
        <f>AF24/AE24-1</f>
        <v>0.86770318823425874</v>
      </c>
    </row>
    <row r="26" spans="1:32" ht="12.75" x14ac:dyDescent="0.2">
      <c r="A26" s="9"/>
      <c r="B26" s="3"/>
      <c r="C26" s="3"/>
      <c r="D26" s="3"/>
      <c r="E26" s="3"/>
      <c r="F26" s="3"/>
      <c r="G26" s="9"/>
      <c r="H26" s="9"/>
      <c r="I26" s="9"/>
      <c r="J26" s="9"/>
      <c r="K26" s="9"/>
      <c r="L26" s="9"/>
      <c r="M26" s="9"/>
      <c r="N26" s="9"/>
      <c r="O26" s="9"/>
      <c r="P26" s="9"/>
      <c r="Q26" s="9"/>
      <c r="R26" s="9"/>
      <c r="S26" s="9"/>
      <c r="T26" s="9"/>
      <c r="U26" s="9"/>
      <c r="V26" s="9"/>
      <c r="W26" s="9"/>
      <c r="X26" s="3"/>
      <c r="Y26" s="3"/>
      <c r="Z26" s="14"/>
      <c r="AA26" s="14"/>
      <c r="AB26" s="14"/>
      <c r="AC26" s="14"/>
      <c r="AD26" s="3"/>
      <c r="AE26" s="3"/>
      <c r="AF26" s="14"/>
    </row>
    <row r="27" spans="1:32" ht="12.75" x14ac:dyDescent="0.2">
      <c r="A27" s="9" t="s">
        <v>66</v>
      </c>
      <c r="B27" s="3"/>
      <c r="C27" s="56">
        <f t="shared" ref="C27:W27" si="12">C23-C24</f>
        <v>33408.432999999997</v>
      </c>
      <c r="D27" s="56">
        <f t="shared" si="12"/>
        <v>29582.864999999998</v>
      </c>
      <c r="E27" s="56">
        <f t="shared" si="12"/>
        <v>35387.587</v>
      </c>
      <c r="F27" s="56">
        <f t="shared" si="12"/>
        <v>35128.398999999998</v>
      </c>
      <c r="G27" s="56">
        <f t="shared" si="12"/>
        <v>34008.733</v>
      </c>
      <c r="H27" s="56">
        <f t="shared" si="12"/>
        <v>36148.368000000002</v>
      </c>
      <c r="I27" s="56">
        <f t="shared" si="12"/>
        <v>40697.555999999997</v>
      </c>
      <c r="J27" s="56">
        <f t="shared" si="12"/>
        <v>43256.462</v>
      </c>
      <c r="K27" s="56">
        <f t="shared" si="12"/>
        <v>41124.876000000004</v>
      </c>
      <c r="L27" s="56">
        <f t="shared" si="12"/>
        <v>49891.095000000001</v>
      </c>
      <c r="M27" s="56">
        <f t="shared" si="12"/>
        <v>54096.612999999998</v>
      </c>
      <c r="N27" s="56">
        <f t="shared" si="12"/>
        <v>60148.085999999996</v>
      </c>
      <c r="O27" s="56">
        <f t="shared" si="12"/>
        <v>55573.048999999999</v>
      </c>
      <c r="P27" s="56">
        <f t="shared" si="12"/>
        <v>65838.838000000003</v>
      </c>
      <c r="Q27" s="56">
        <f t="shared" si="12"/>
        <v>73224.402000000002</v>
      </c>
      <c r="R27" s="56">
        <f t="shared" si="12"/>
        <v>72874.20199999999</v>
      </c>
      <c r="S27" s="56">
        <f t="shared" si="12"/>
        <v>74344.929000000004</v>
      </c>
      <c r="T27" s="56">
        <f t="shared" si="12"/>
        <v>86619.808000000005</v>
      </c>
      <c r="U27" s="56">
        <f t="shared" si="12"/>
        <v>81022.695000000007</v>
      </c>
      <c r="V27" s="56">
        <f t="shared" si="12"/>
        <v>92792.410999999993</v>
      </c>
      <c r="W27" s="56">
        <f t="shared" si="12"/>
        <v>86575.307639999999</v>
      </c>
      <c r="X27" s="22"/>
      <c r="Y27" s="22">
        <f t="shared" ref="Y27:AB27" si="13">SUMIFS($C27:$T27,$C$7:$T$7,Y$7)</f>
        <v>133507.28399999999</v>
      </c>
      <c r="Z27" s="22">
        <f t="shared" si="13"/>
        <v>154111.11900000001</v>
      </c>
      <c r="AA27" s="22">
        <f t="shared" si="13"/>
        <v>205260.66999999998</v>
      </c>
      <c r="AB27" s="22">
        <f t="shared" si="13"/>
        <v>267510.49099999998</v>
      </c>
      <c r="AC27" s="22">
        <f>SUMIFS($C27:$V27,$C$7:$V$7,AC$7)</f>
        <v>334779.84299999999</v>
      </c>
      <c r="AD27" s="22"/>
      <c r="AE27" s="22">
        <f t="shared" ref="AE27:AF27" si="14">SUMIFS($C27:$W27,$C$5:$W$5,"&lt;="&amp;AE$5,$C$5:$W$5,"&gt;"&amp;EOMONTH(AE$5,-12))</f>
        <v>286282.37099999998</v>
      </c>
      <c r="AF27" s="22">
        <f t="shared" si="14"/>
        <v>347010.22164</v>
      </c>
    </row>
    <row r="28" spans="1:32" ht="12.75" x14ac:dyDescent="0.2">
      <c r="A28" s="41" t="s">
        <v>63</v>
      </c>
      <c r="C28" s="60"/>
      <c r="D28" s="60"/>
      <c r="E28" s="60"/>
      <c r="F28" s="60"/>
      <c r="G28" s="55">
        <f t="shared" ref="G28:W28" si="15">G27/C27-1</f>
        <v>1.7968517110634963E-2</v>
      </c>
      <c r="H28" s="55">
        <f t="shared" si="15"/>
        <v>0.22193600924048451</v>
      </c>
      <c r="I28" s="55">
        <f t="shared" si="15"/>
        <v>0.15005173989399156</v>
      </c>
      <c r="J28" s="55">
        <f t="shared" si="15"/>
        <v>0.2313815383388238</v>
      </c>
      <c r="K28" s="55">
        <f t="shared" si="15"/>
        <v>0.20924457844401334</v>
      </c>
      <c r="L28" s="55">
        <f t="shared" si="15"/>
        <v>0.38017558635012239</v>
      </c>
      <c r="M28" s="55">
        <f t="shared" si="15"/>
        <v>0.32923492997957915</v>
      </c>
      <c r="N28" s="55">
        <f t="shared" si="15"/>
        <v>0.39049943566813194</v>
      </c>
      <c r="O28" s="55">
        <f t="shared" si="15"/>
        <v>0.35132441493562183</v>
      </c>
      <c r="P28" s="55">
        <f t="shared" si="15"/>
        <v>0.31965109204358022</v>
      </c>
      <c r="Q28" s="55">
        <f t="shared" si="15"/>
        <v>0.35358570415489798</v>
      </c>
      <c r="R28" s="55">
        <f t="shared" si="15"/>
        <v>0.21157973339334513</v>
      </c>
      <c r="S28" s="55">
        <f t="shared" si="15"/>
        <v>0.33778747680372923</v>
      </c>
      <c r="T28" s="55">
        <f t="shared" si="15"/>
        <v>0.31563391200798541</v>
      </c>
      <c r="U28" s="55">
        <f t="shared" si="15"/>
        <v>0.10649855494893634</v>
      </c>
      <c r="V28" s="55">
        <f t="shared" si="15"/>
        <v>0.27332318506897679</v>
      </c>
      <c r="W28" s="55">
        <f t="shared" si="15"/>
        <v>0.16450857919307449</v>
      </c>
      <c r="Z28" s="54">
        <f t="shared" ref="Z28:AC28" si="16">Z27/Y27-1</f>
        <v>0.15432742231502528</v>
      </c>
      <c r="AA28" s="54">
        <f t="shared" si="16"/>
        <v>0.33190045813631386</v>
      </c>
      <c r="AB28" s="54">
        <f t="shared" si="16"/>
        <v>0.30327203453053131</v>
      </c>
      <c r="AC28" s="54">
        <f t="shared" si="16"/>
        <v>0.2514643509812855</v>
      </c>
      <c r="AE28" s="54"/>
      <c r="AF28" s="54">
        <f>AF27/AE27-1</f>
        <v>0.21212570801294639</v>
      </c>
    </row>
    <row r="30" spans="1:32" ht="12.75" x14ac:dyDescent="0.2">
      <c r="A30" s="2" t="s">
        <v>73</v>
      </c>
      <c r="O30" s="22">
        <f>'Pro Forma ex-Caviar'!C29</f>
        <v>4165</v>
      </c>
      <c r="P30" s="22">
        <f>'Pro Forma ex-Caviar'!D29</f>
        <v>3883</v>
      </c>
      <c r="Q30" s="22">
        <f>'Pro Forma ex-Caviar'!E29</f>
        <v>3428</v>
      </c>
      <c r="R30" s="22">
        <f>'Pro Forma ex-Caviar'!F29</f>
        <v>4533</v>
      </c>
      <c r="S30" s="22">
        <f>'Pro Forma ex-Caviar'!G29</f>
        <v>5229</v>
      </c>
      <c r="T30" s="22">
        <f>'Pro Forma ex-Caviar'!H29</f>
        <v>5593</v>
      </c>
      <c r="U30" s="22">
        <f>'Pro Forma ex-Caviar'!I29</f>
        <v>6205</v>
      </c>
      <c r="V30" s="22">
        <f>'Pro Forma ex-Caviar'!J29</f>
        <v>1893</v>
      </c>
      <c r="W30" s="22">
        <v>0</v>
      </c>
    </row>
    <row r="32" spans="1:32" ht="12.75" x14ac:dyDescent="0.2">
      <c r="A32" s="9" t="s">
        <v>75</v>
      </c>
      <c r="O32" s="56">
        <f t="shared" ref="O32:W32" si="17">O27-O30</f>
        <v>51408.048999999999</v>
      </c>
      <c r="P32" s="56">
        <f t="shared" si="17"/>
        <v>61955.838000000003</v>
      </c>
      <c r="Q32" s="56">
        <f t="shared" si="17"/>
        <v>69796.402000000002</v>
      </c>
      <c r="R32" s="56">
        <f t="shared" si="17"/>
        <v>68341.20199999999</v>
      </c>
      <c r="S32" s="56">
        <f t="shared" si="17"/>
        <v>69115.929000000004</v>
      </c>
      <c r="T32" s="56">
        <f t="shared" si="17"/>
        <v>81026.808000000005</v>
      </c>
      <c r="U32" s="56">
        <f t="shared" si="17"/>
        <v>74817.695000000007</v>
      </c>
      <c r="V32" s="56">
        <f t="shared" si="17"/>
        <v>90899.410999999993</v>
      </c>
      <c r="W32" s="56">
        <f t="shared" si="17"/>
        <v>86575.307639999999</v>
      </c>
      <c r="X32" s="22"/>
      <c r="Y32" s="22"/>
      <c r="Z32" s="22"/>
      <c r="AA32" s="22"/>
      <c r="AB32" s="22">
        <f>SUMIFS($C32:$T32,$C$7:$T$7,AB$7)</f>
        <v>251501.49099999998</v>
      </c>
      <c r="AC32" s="22">
        <f>SUMIFS($C32:$V32,$C$7:$V$7,AC$7)</f>
        <v>315859.84299999999</v>
      </c>
      <c r="AE32" s="22">
        <f t="shared" ref="AE32:AF32" si="18">SUMIFS($C32:$W32,$C$5:$W$5,"&lt;="&amp;AE$5,$C$5:$W$5,"&gt;"&amp;EOMONTH(AE$5,-12))</f>
        <v>269209.37099999998</v>
      </c>
      <c r="AF32" s="22">
        <f t="shared" si="18"/>
        <v>333319.22164</v>
      </c>
    </row>
    <row r="33" spans="1:32" ht="12.75" x14ac:dyDescent="0.2">
      <c r="A33" s="41" t="s">
        <v>63</v>
      </c>
      <c r="S33" s="55">
        <f t="shared" ref="S33:W33" si="19">S32/O32-1</f>
        <v>0.34445734363504066</v>
      </c>
      <c r="T33" s="55">
        <f t="shared" si="19"/>
        <v>0.30781554435596536</v>
      </c>
      <c r="U33" s="55">
        <f t="shared" si="19"/>
        <v>7.1942003543391975E-2</v>
      </c>
      <c r="V33" s="55">
        <f t="shared" si="19"/>
        <v>0.33008212234838963</v>
      </c>
      <c r="W33" s="55">
        <f t="shared" si="19"/>
        <v>0.25261005520160196</v>
      </c>
      <c r="AC33" s="54">
        <f>AC32/AB32-1</f>
        <v>0.25589650281635912</v>
      </c>
      <c r="AF33" s="54">
        <f>AF32/AE32-1</f>
        <v>0.23814122963795348</v>
      </c>
    </row>
    <row r="35" spans="1:32" ht="46.5" customHeight="1" x14ac:dyDescent="0.2">
      <c r="A35" s="62" t="s">
        <v>77</v>
      </c>
      <c r="AC35" s="2"/>
    </row>
    <row r="36" spans="1:32" ht="18.75" x14ac:dyDescent="0.2">
      <c r="A36" s="62" t="s">
        <v>79</v>
      </c>
    </row>
    <row r="37" spans="1:32" ht="18.75" x14ac:dyDescent="0.2">
      <c r="A37" s="62" t="s">
        <v>81</v>
      </c>
    </row>
  </sheetData>
  <mergeCells count="7">
    <mergeCell ref="Y4:AC4"/>
    <mergeCell ref="AE4:AF4"/>
    <mergeCell ref="C4:F4"/>
    <mergeCell ref="G4:J4"/>
    <mergeCell ref="K4:N4"/>
    <mergeCell ref="O4:R4"/>
    <mergeCell ref="S4:V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6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ColWidth="14.42578125" defaultRowHeight="15.75" customHeight="1" outlineLevelCol="1" x14ac:dyDescent="0.2"/>
  <cols>
    <col min="1" max="1" width="40.5703125" customWidth="1"/>
    <col min="2" max="2" width="4.7109375" customWidth="1"/>
    <col min="3" max="10" width="12.7109375" customWidth="1" outlineLevel="1"/>
  </cols>
  <sheetData>
    <row r="1" spans="1:10" ht="12.75" x14ac:dyDescent="0.2">
      <c r="A1" s="1" t="s">
        <v>0</v>
      </c>
      <c r="B1" s="3"/>
      <c r="C1" s="3"/>
      <c r="D1" s="3"/>
      <c r="E1" s="3"/>
      <c r="F1" s="3"/>
      <c r="G1" s="3"/>
      <c r="H1" s="3"/>
      <c r="I1" s="3"/>
      <c r="J1" s="3"/>
    </row>
    <row r="2" spans="1:10" ht="12.75" x14ac:dyDescent="0.2">
      <c r="A2" s="8" t="s">
        <v>84</v>
      </c>
      <c r="B2" s="3"/>
      <c r="C2" s="3"/>
      <c r="D2" s="3"/>
      <c r="E2" s="3"/>
      <c r="F2" s="3"/>
      <c r="G2" s="3"/>
      <c r="H2" s="26"/>
      <c r="I2" s="26"/>
      <c r="J2" s="26"/>
    </row>
    <row r="3" spans="1:10" ht="12.75" x14ac:dyDescent="0.2">
      <c r="A3" s="8" t="s">
        <v>9</v>
      </c>
      <c r="B3" s="3"/>
    </row>
    <row r="4" spans="1:10" ht="12.75" x14ac:dyDescent="0.2">
      <c r="A4" s="8" t="s">
        <v>12</v>
      </c>
      <c r="B4" s="3"/>
      <c r="C4" s="110" t="s">
        <v>13</v>
      </c>
      <c r="D4" s="111"/>
      <c r="E4" s="111"/>
      <c r="F4" s="111"/>
      <c r="G4" s="110" t="s">
        <v>13</v>
      </c>
      <c r="H4" s="111"/>
      <c r="I4" s="111"/>
      <c r="J4" s="111"/>
    </row>
    <row r="5" spans="1:10" ht="12.75" x14ac:dyDescent="0.2">
      <c r="A5" s="14"/>
      <c r="B5" s="14"/>
      <c r="C5" s="20" t="s">
        <v>18</v>
      </c>
      <c r="D5" s="20" t="s">
        <v>19</v>
      </c>
      <c r="E5" s="20" t="s">
        <v>20</v>
      </c>
      <c r="F5" s="20" t="s">
        <v>21</v>
      </c>
      <c r="G5" s="20" t="s">
        <v>18</v>
      </c>
      <c r="H5" s="20" t="s">
        <v>19</v>
      </c>
      <c r="I5" s="20" t="s">
        <v>20</v>
      </c>
      <c r="J5" s="20" t="s">
        <v>86</v>
      </c>
    </row>
    <row r="6" spans="1:10" ht="12.75" x14ac:dyDescent="0.2">
      <c r="A6" s="21"/>
      <c r="B6" s="14"/>
      <c r="C6" s="1">
        <v>2018</v>
      </c>
      <c r="D6" s="1">
        <v>2018</v>
      </c>
      <c r="E6" s="1">
        <v>2018</v>
      </c>
      <c r="F6" s="1">
        <v>2018</v>
      </c>
      <c r="G6" s="1">
        <v>2019</v>
      </c>
      <c r="H6" s="1">
        <v>2019</v>
      </c>
      <c r="I6" s="1">
        <v>2019</v>
      </c>
      <c r="J6" s="1">
        <v>2019</v>
      </c>
    </row>
    <row r="7" spans="1:10" ht="12.75" x14ac:dyDescent="0.2">
      <c r="A7" s="9" t="s">
        <v>88</v>
      </c>
      <c r="B7" s="3"/>
      <c r="C7" s="48">
        <f>'GAAP IS'!O14</f>
        <v>668603</v>
      </c>
      <c r="D7" s="48">
        <f>'GAAP IS'!P14</f>
        <v>814938</v>
      </c>
      <c r="E7" s="48">
        <f>'GAAP IS'!Q14</f>
        <v>882108</v>
      </c>
      <c r="F7" s="48">
        <f>'GAAP IS'!R14</f>
        <v>932528</v>
      </c>
      <c r="G7" s="48">
        <f>'GAAP IS'!S14</f>
        <v>959359</v>
      </c>
      <c r="H7" s="48">
        <f>'GAAP IS'!T14</f>
        <v>1174238</v>
      </c>
      <c r="I7" s="48">
        <f>'GAAP IS'!U14</f>
        <v>1266474</v>
      </c>
      <c r="J7" s="48">
        <f>'GAAP IS'!V14</f>
        <v>1313429</v>
      </c>
    </row>
    <row r="8" spans="1:10" ht="12.75" x14ac:dyDescent="0.2">
      <c r="A8" s="9" t="s">
        <v>91</v>
      </c>
      <c r="B8" s="3"/>
      <c r="C8" s="34">
        <v>27469</v>
      </c>
      <c r="D8" s="34">
        <v>36927</v>
      </c>
      <c r="E8" s="34">
        <v>39583</v>
      </c>
      <c r="F8" s="34">
        <v>44283</v>
      </c>
      <c r="G8" s="34">
        <v>46530</v>
      </c>
      <c r="H8" s="34">
        <v>43390</v>
      </c>
      <c r="I8" s="34">
        <v>40948</v>
      </c>
      <c r="J8" s="34">
        <v>15046</v>
      </c>
    </row>
    <row r="9" spans="1:10" ht="12.75" x14ac:dyDescent="0.2">
      <c r="A9" s="21" t="s">
        <v>92</v>
      </c>
      <c r="B9" s="3"/>
      <c r="C9" s="30">
        <f t="shared" ref="C9:J9" si="0">C7-C8</f>
        <v>641134</v>
      </c>
      <c r="D9" s="30">
        <f t="shared" si="0"/>
        <v>778011</v>
      </c>
      <c r="E9" s="30">
        <f t="shared" si="0"/>
        <v>842525</v>
      </c>
      <c r="F9" s="30">
        <f t="shared" si="0"/>
        <v>888245</v>
      </c>
      <c r="G9" s="30">
        <f t="shared" si="0"/>
        <v>912829</v>
      </c>
      <c r="H9" s="30">
        <f t="shared" si="0"/>
        <v>1130848</v>
      </c>
      <c r="I9" s="30">
        <f t="shared" si="0"/>
        <v>1225526</v>
      </c>
      <c r="J9" s="30">
        <f t="shared" si="0"/>
        <v>1298383</v>
      </c>
    </row>
    <row r="10" spans="1:10" ht="12.75" x14ac:dyDescent="0.2">
      <c r="A10" s="9"/>
      <c r="B10" s="3"/>
      <c r="C10" s="3"/>
      <c r="D10" s="3"/>
      <c r="E10" s="3"/>
      <c r="F10" s="3"/>
      <c r="G10" s="3"/>
      <c r="H10" s="3"/>
      <c r="I10" s="3"/>
      <c r="J10" s="3"/>
    </row>
    <row r="11" spans="1:10" ht="12.75" x14ac:dyDescent="0.2">
      <c r="A11" s="9" t="s">
        <v>94</v>
      </c>
      <c r="B11" s="3"/>
      <c r="C11" s="48">
        <f>'GAAP IS'!O11</f>
        <v>97054</v>
      </c>
      <c r="D11" s="48">
        <f>'GAAP IS'!P11</f>
        <v>134332</v>
      </c>
      <c r="E11" s="48">
        <f>'GAAP IS'!Q11</f>
        <v>166203</v>
      </c>
      <c r="F11" s="48">
        <f>'GAAP IS'!R11</f>
        <v>194117</v>
      </c>
      <c r="G11" s="48">
        <f>'GAAP IS'!S11</f>
        <v>218857</v>
      </c>
      <c r="H11" s="48">
        <f>'GAAP IS'!T11</f>
        <v>251383</v>
      </c>
      <c r="I11" s="48">
        <f>'GAAP IS'!U11</f>
        <v>279801</v>
      </c>
      <c r="J11" s="48">
        <f>'GAAP IS'!V11</f>
        <v>281415</v>
      </c>
    </row>
    <row r="12" spans="1:10" ht="12.75" x14ac:dyDescent="0.2">
      <c r="A12" s="9" t="s">
        <v>91</v>
      </c>
      <c r="B12" s="3"/>
      <c r="C12" s="67">
        <f t="shared" ref="C12:J12" si="1">C8</f>
        <v>27469</v>
      </c>
      <c r="D12" s="67">
        <f t="shared" si="1"/>
        <v>36927</v>
      </c>
      <c r="E12" s="67">
        <f t="shared" si="1"/>
        <v>39583</v>
      </c>
      <c r="F12" s="67">
        <f t="shared" si="1"/>
        <v>44283</v>
      </c>
      <c r="G12" s="67">
        <f t="shared" si="1"/>
        <v>46530</v>
      </c>
      <c r="H12" s="67">
        <f t="shared" si="1"/>
        <v>43390</v>
      </c>
      <c r="I12" s="67">
        <f t="shared" si="1"/>
        <v>40948</v>
      </c>
      <c r="J12" s="67">
        <f t="shared" si="1"/>
        <v>15046</v>
      </c>
    </row>
    <row r="13" spans="1:10" ht="12.75" x14ac:dyDescent="0.2">
      <c r="A13" s="21" t="s">
        <v>98</v>
      </c>
      <c r="B13" s="3"/>
      <c r="C13" s="30">
        <f t="shared" ref="C13:J13" si="2">C11-C12</f>
        <v>69585</v>
      </c>
      <c r="D13" s="30">
        <f t="shared" si="2"/>
        <v>97405</v>
      </c>
      <c r="E13" s="30">
        <f t="shared" si="2"/>
        <v>126620</v>
      </c>
      <c r="F13" s="30">
        <f t="shared" si="2"/>
        <v>149834</v>
      </c>
      <c r="G13" s="30">
        <f t="shared" si="2"/>
        <v>172327</v>
      </c>
      <c r="H13" s="30">
        <f t="shared" si="2"/>
        <v>207993</v>
      </c>
      <c r="I13" s="30">
        <f t="shared" si="2"/>
        <v>238853</v>
      </c>
      <c r="J13" s="30">
        <f t="shared" si="2"/>
        <v>266369</v>
      </c>
    </row>
    <row r="14" spans="1:10" ht="12.75" x14ac:dyDescent="0.2">
      <c r="A14" s="9"/>
      <c r="B14" s="3"/>
      <c r="C14" s="3"/>
      <c r="D14" s="3"/>
      <c r="E14" s="3"/>
      <c r="F14" s="3"/>
      <c r="G14" s="3"/>
      <c r="H14" s="3"/>
      <c r="I14" s="3"/>
      <c r="J14" s="3"/>
    </row>
    <row r="15" spans="1:10" ht="12.75" x14ac:dyDescent="0.2">
      <c r="A15" s="9" t="s">
        <v>100</v>
      </c>
      <c r="B15" s="68"/>
      <c r="C15" s="48">
        <f>'Non-GAAP IS'!O13</f>
        <v>306820</v>
      </c>
      <c r="D15" s="48">
        <f>'Non-GAAP IS'!P13</f>
        <v>385433</v>
      </c>
      <c r="E15" s="48">
        <f>'Non-GAAP IS'!Q13</f>
        <v>431136</v>
      </c>
      <c r="F15" s="48">
        <f>'Non-GAAP IS'!R13</f>
        <v>464252</v>
      </c>
      <c r="G15" s="48">
        <f>'Non-GAAP IS'!S13</f>
        <v>489050</v>
      </c>
      <c r="H15" s="48">
        <f>'Non-GAAP IS'!T13</f>
        <v>562800</v>
      </c>
      <c r="I15" s="48">
        <f>'Non-GAAP IS'!U13</f>
        <v>602219</v>
      </c>
      <c r="J15" s="48">
        <f>'Non-GAAP IS'!V13</f>
        <v>0</v>
      </c>
    </row>
    <row r="16" spans="1:10" ht="12.75" x14ac:dyDescent="0.2">
      <c r="A16" s="9" t="s">
        <v>91</v>
      </c>
      <c r="B16" s="68"/>
      <c r="C16" s="69">
        <f t="shared" ref="C16:I16" si="3">C8</f>
        <v>27469</v>
      </c>
      <c r="D16" s="69">
        <f t="shared" si="3"/>
        <v>36927</v>
      </c>
      <c r="E16" s="69">
        <f t="shared" si="3"/>
        <v>39583</v>
      </c>
      <c r="F16" s="69">
        <f t="shared" si="3"/>
        <v>44283</v>
      </c>
      <c r="G16" s="69">
        <f t="shared" si="3"/>
        <v>46530</v>
      </c>
      <c r="H16" s="69">
        <f t="shared" si="3"/>
        <v>43390</v>
      </c>
      <c r="I16" s="69">
        <f t="shared" si="3"/>
        <v>40948</v>
      </c>
      <c r="J16" s="68"/>
    </row>
    <row r="17" spans="1:10" ht="12.75" x14ac:dyDescent="0.2">
      <c r="A17" s="70" t="s">
        <v>101</v>
      </c>
      <c r="B17" s="71"/>
      <c r="C17" s="72">
        <f t="shared" ref="C17:I17" si="4">C15-C16</f>
        <v>279351</v>
      </c>
      <c r="D17" s="72">
        <f t="shared" si="4"/>
        <v>348506</v>
      </c>
      <c r="E17" s="72">
        <f t="shared" si="4"/>
        <v>391553</v>
      </c>
      <c r="F17" s="72">
        <f t="shared" si="4"/>
        <v>419969</v>
      </c>
      <c r="G17" s="72">
        <f t="shared" si="4"/>
        <v>442520</v>
      </c>
      <c r="H17" s="72">
        <f t="shared" si="4"/>
        <v>519410</v>
      </c>
      <c r="I17" s="72">
        <f t="shared" si="4"/>
        <v>561271</v>
      </c>
      <c r="J17" s="72"/>
    </row>
    <row r="18" spans="1:10" ht="12.75" x14ac:dyDescent="0.2">
      <c r="A18" s="9"/>
      <c r="B18" s="3"/>
      <c r="C18" s="3"/>
      <c r="D18" s="3"/>
      <c r="E18" s="3"/>
      <c r="F18" s="3"/>
      <c r="G18" s="3"/>
      <c r="H18" s="3"/>
      <c r="I18" s="3"/>
      <c r="J18" s="3"/>
    </row>
    <row r="19" spans="1:10" ht="12.75" x14ac:dyDescent="0.2">
      <c r="A19" s="9" t="s">
        <v>104</v>
      </c>
      <c r="B19" s="3"/>
      <c r="C19" s="48">
        <f>'GAAP IS'!O23</f>
        <v>413433</v>
      </c>
      <c r="D19" s="48">
        <f>'GAAP IS'!P23</f>
        <v>499122</v>
      </c>
      <c r="E19" s="48">
        <f>'GAAP IS'!Q23</f>
        <v>529448</v>
      </c>
      <c r="F19" s="48">
        <f>'GAAP IS'!R23</f>
        <v>552474</v>
      </c>
      <c r="G19" s="48">
        <f>'GAAP IS'!S23</f>
        <v>562605</v>
      </c>
      <c r="H19" s="48">
        <f>'GAAP IS'!T23</f>
        <v>708393</v>
      </c>
      <c r="I19" s="48">
        <f>'GAAP IS'!U23</f>
        <v>766437</v>
      </c>
      <c r="J19" s="48">
        <f>'GAAP IS'!V23</f>
        <v>786380</v>
      </c>
    </row>
    <row r="20" spans="1:10" ht="12.75" x14ac:dyDescent="0.2">
      <c r="A20" s="9" t="s">
        <v>106</v>
      </c>
      <c r="B20" s="3"/>
      <c r="C20" s="34">
        <v>21223</v>
      </c>
      <c r="D20" s="34">
        <v>27569</v>
      </c>
      <c r="E20" s="34">
        <v>29820</v>
      </c>
      <c r="F20" s="34">
        <v>33549</v>
      </c>
      <c r="G20" s="34">
        <v>35090</v>
      </c>
      <c r="H20" s="34">
        <v>30094</v>
      </c>
      <c r="I20" s="34">
        <v>28305</v>
      </c>
      <c r="J20" s="34">
        <v>10666</v>
      </c>
    </row>
    <row r="21" spans="1:10" ht="12.75" x14ac:dyDescent="0.2">
      <c r="A21" s="21" t="s">
        <v>108</v>
      </c>
      <c r="B21" s="3"/>
      <c r="C21" s="30">
        <f t="shared" ref="C21:J21" si="5">C19-C20</f>
        <v>392210</v>
      </c>
      <c r="D21" s="30">
        <f t="shared" si="5"/>
        <v>471553</v>
      </c>
      <c r="E21" s="30">
        <f t="shared" si="5"/>
        <v>499628</v>
      </c>
      <c r="F21" s="30">
        <f t="shared" si="5"/>
        <v>518925</v>
      </c>
      <c r="G21" s="30">
        <f t="shared" si="5"/>
        <v>527515</v>
      </c>
      <c r="H21" s="30">
        <f t="shared" si="5"/>
        <v>678299</v>
      </c>
      <c r="I21" s="30">
        <f t="shared" si="5"/>
        <v>738132</v>
      </c>
      <c r="J21" s="30">
        <f t="shared" si="5"/>
        <v>775714</v>
      </c>
    </row>
    <row r="22" spans="1:10" ht="12.75" x14ac:dyDescent="0.2">
      <c r="A22" s="9"/>
      <c r="B22" s="3"/>
      <c r="C22" s="3"/>
      <c r="D22" s="3"/>
      <c r="E22" s="3"/>
      <c r="F22" s="3"/>
      <c r="G22" s="3"/>
      <c r="H22" s="3"/>
      <c r="I22" s="3"/>
      <c r="J22" s="3"/>
    </row>
    <row r="23" spans="1:10" ht="12.75" x14ac:dyDescent="0.2">
      <c r="A23" s="9" t="s">
        <v>109</v>
      </c>
      <c r="B23" s="3"/>
      <c r="C23" s="48">
        <f>'GAAP IS'!O24</f>
        <v>255170</v>
      </c>
      <c r="D23" s="48">
        <f>'GAAP IS'!P24</f>
        <v>315816</v>
      </c>
      <c r="E23" s="48">
        <f>'GAAP IS'!Q24</f>
        <v>352660</v>
      </c>
      <c r="F23" s="48">
        <f>'GAAP IS'!R24</f>
        <v>380054</v>
      </c>
      <c r="G23" s="48">
        <f>'GAAP IS'!S24</f>
        <v>396754</v>
      </c>
      <c r="H23" s="48">
        <f>'GAAP IS'!T24</f>
        <v>465845</v>
      </c>
      <c r="I23" s="48">
        <f>'GAAP IS'!U24</f>
        <v>500037</v>
      </c>
      <c r="J23" s="48">
        <f>'GAAP IS'!V24</f>
        <v>527049</v>
      </c>
    </row>
    <row r="24" spans="1:10" ht="12.75" x14ac:dyDescent="0.2">
      <c r="A24" s="9" t="s">
        <v>91</v>
      </c>
      <c r="B24" s="3"/>
      <c r="C24" s="34">
        <v>6246</v>
      </c>
      <c r="D24" s="34">
        <v>9358</v>
      </c>
      <c r="E24" s="34">
        <v>9763</v>
      </c>
      <c r="F24" s="34">
        <v>10734</v>
      </c>
      <c r="G24" s="34">
        <v>11440</v>
      </c>
      <c r="H24" s="34">
        <v>13296</v>
      </c>
      <c r="I24" s="34">
        <v>12643</v>
      </c>
      <c r="J24" s="34">
        <v>4380</v>
      </c>
    </row>
    <row r="25" spans="1:10" ht="12.75" x14ac:dyDescent="0.2">
      <c r="A25" s="21" t="s">
        <v>111</v>
      </c>
      <c r="B25" s="3"/>
      <c r="C25" s="30">
        <f t="shared" ref="C25:J25" si="6">C23-C24</f>
        <v>248924</v>
      </c>
      <c r="D25" s="30">
        <f t="shared" si="6"/>
        <v>306458</v>
      </c>
      <c r="E25" s="30">
        <f t="shared" si="6"/>
        <v>342897</v>
      </c>
      <c r="F25" s="30">
        <f t="shared" si="6"/>
        <v>369320</v>
      </c>
      <c r="G25" s="30">
        <f t="shared" si="6"/>
        <v>385314</v>
      </c>
      <c r="H25" s="30">
        <f t="shared" si="6"/>
        <v>452549</v>
      </c>
      <c r="I25" s="30">
        <f t="shared" si="6"/>
        <v>487394</v>
      </c>
      <c r="J25" s="30">
        <f t="shared" si="6"/>
        <v>522669</v>
      </c>
    </row>
    <row r="26" spans="1:10" ht="12.75" x14ac:dyDescent="0.2">
      <c r="A26" s="9"/>
      <c r="B26" s="3"/>
      <c r="C26" s="3"/>
      <c r="D26" s="3"/>
      <c r="E26" s="3"/>
      <c r="F26" s="3"/>
      <c r="G26" s="3"/>
      <c r="H26" s="3"/>
      <c r="I26" s="3"/>
      <c r="J26" s="3"/>
    </row>
    <row r="27" spans="1:10" ht="12.75" x14ac:dyDescent="0.2">
      <c r="A27" s="9" t="s">
        <v>112</v>
      </c>
      <c r="B27" s="3"/>
      <c r="C27" s="30">
        <f>'GAAP IS'!O32</f>
        <v>276162</v>
      </c>
      <c r="D27" s="30">
        <f>'GAAP IS'!P32</f>
        <v>318463</v>
      </c>
      <c r="E27" s="30">
        <f>'GAAP IS'!Q32</f>
        <v>362527</v>
      </c>
      <c r="F27" s="30">
        <f>'GAAP IS'!R32</f>
        <v>383162</v>
      </c>
      <c r="G27" s="30">
        <f>'GAAP IS'!S32</f>
        <v>418796</v>
      </c>
      <c r="H27" s="30">
        <f>'GAAP IS'!T32</f>
        <v>466688</v>
      </c>
      <c r="I27" s="30">
        <f>'GAAP IS'!U32</f>
        <v>467943</v>
      </c>
      <c r="J27" s="30">
        <f>'GAAP IS'!V32</f>
        <v>509701</v>
      </c>
    </row>
    <row r="28" spans="1:10" ht="12.75" x14ac:dyDescent="0.2">
      <c r="A28" s="9" t="s">
        <v>115</v>
      </c>
      <c r="B28" s="3"/>
      <c r="C28" s="34">
        <v>3095</v>
      </c>
      <c r="D28" s="34">
        <v>2759</v>
      </c>
      <c r="E28" s="34">
        <v>3709</v>
      </c>
      <c r="F28" s="34">
        <v>4100</v>
      </c>
      <c r="G28" s="34">
        <v>4711</v>
      </c>
      <c r="H28" s="34">
        <v>5413</v>
      </c>
      <c r="I28" s="34">
        <v>5591</v>
      </c>
      <c r="J28" s="34">
        <v>950</v>
      </c>
    </row>
    <row r="29" spans="1:10" ht="12.75" x14ac:dyDescent="0.2">
      <c r="A29" s="9" t="s">
        <v>117</v>
      </c>
      <c r="B29" s="3"/>
      <c r="C29" s="34">
        <v>4165</v>
      </c>
      <c r="D29" s="34">
        <v>3883</v>
      </c>
      <c r="E29" s="34">
        <v>3428</v>
      </c>
      <c r="F29" s="34">
        <v>4533</v>
      </c>
      <c r="G29" s="34">
        <v>5229</v>
      </c>
      <c r="H29" s="34">
        <v>5593</v>
      </c>
      <c r="I29" s="34">
        <v>6205</v>
      </c>
      <c r="J29" s="34">
        <v>1893</v>
      </c>
    </row>
    <row r="30" spans="1:10" ht="12.75" x14ac:dyDescent="0.2">
      <c r="A30" s="9" t="s">
        <v>118</v>
      </c>
      <c r="B30" s="3"/>
      <c r="C30" s="34">
        <v>6338</v>
      </c>
      <c r="D30" s="34">
        <v>3983</v>
      </c>
      <c r="E30" s="34">
        <v>7540</v>
      </c>
      <c r="F30" s="34">
        <v>8976</v>
      </c>
      <c r="G30" s="34">
        <v>8108</v>
      </c>
      <c r="H30" s="34">
        <v>8908</v>
      </c>
      <c r="I30" s="34">
        <v>8949</v>
      </c>
      <c r="J30" s="34">
        <v>3980</v>
      </c>
    </row>
    <row r="31" spans="1:10" ht="12.75" x14ac:dyDescent="0.2">
      <c r="A31" s="9" t="s">
        <v>119</v>
      </c>
      <c r="B31" s="3"/>
      <c r="C31" s="64">
        <f t="shared" ref="C31:J31" si="7">SUM(C28:C30)</f>
        <v>13598</v>
      </c>
      <c r="D31" s="64">
        <f t="shared" si="7"/>
        <v>10625</v>
      </c>
      <c r="E31" s="64">
        <f t="shared" si="7"/>
        <v>14677</v>
      </c>
      <c r="F31" s="64">
        <f t="shared" si="7"/>
        <v>17609</v>
      </c>
      <c r="G31" s="64">
        <f t="shared" si="7"/>
        <v>18048</v>
      </c>
      <c r="H31" s="64">
        <f t="shared" si="7"/>
        <v>19914</v>
      </c>
      <c r="I31" s="64">
        <f t="shared" si="7"/>
        <v>20745</v>
      </c>
      <c r="J31" s="64">
        <f t="shared" si="7"/>
        <v>6823</v>
      </c>
    </row>
    <row r="32" spans="1:10" ht="12.75" x14ac:dyDescent="0.2">
      <c r="A32" s="21" t="s">
        <v>120</v>
      </c>
      <c r="B32" s="3"/>
      <c r="C32" s="30">
        <f t="shared" ref="C32:J32" si="8">C27-C31</f>
        <v>262564</v>
      </c>
      <c r="D32" s="30">
        <f t="shared" si="8"/>
        <v>307838</v>
      </c>
      <c r="E32" s="30">
        <f t="shared" si="8"/>
        <v>347850</v>
      </c>
      <c r="F32" s="30">
        <f t="shared" si="8"/>
        <v>365553</v>
      </c>
      <c r="G32" s="30">
        <f t="shared" si="8"/>
        <v>400748</v>
      </c>
      <c r="H32" s="30">
        <f t="shared" si="8"/>
        <v>446774</v>
      </c>
      <c r="I32" s="30">
        <f t="shared" si="8"/>
        <v>447198</v>
      </c>
      <c r="J32" s="30">
        <f t="shared" si="8"/>
        <v>502878</v>
      </c>
    </row>
    <row r="33" spans="1:10" ht="12.75" x14ac:dyDescent="0.2">
      <c r="A33" s="9"/>
      <c r="B33" s="3"/>
      <c r="C33" s="3"/>
      <c r="D33" s="3"/>
      <c r="E33" s="3"/>
      <c r="F33" s="3"/>
      <c r="G33" s="3"/>
      <c r="H33" s="3"/>
      <c r="I33" s="3"/>
      <c r="J33" s="3"/>
    </row>
    <row r="34" spans="1:10" ht="12.75" x14ac:dyDescent="0.2">
      <c r="A34" s="78" t="s">
        <v>121</v>
      </c>
      <c r="B34" s="3"/>
      <c r="C34" s="48">
        <f>'GAAP IS'!O33</f>
        <v>-20992</v>
      </c>
      <c r="D34" s="48">
        <f>'GAAP IS'!P33</f>
        <v>-2647</v>
      </c>
      <c r="E34" s="48">
        <f>'GAAP IS'!Q33</f>
        <v>-9867</v>
      </c>
      <c r="F34" s="48">
        <f>'GAAP IS'!R33</f>
        <v>-3108</v>
      </c>
      <c r="G34" s="48">
        <f>'GAAP IS'!S33</f>
        <v>-22042</v>
      </c>
      <c r="H34" s="48">
        <f>'GAAP IS'!T33</f>
        <v>-843</v>
      </c>
      <c r="I34" s="48">
        <f>'GAAP IS'!U33</f>
        <v>32094</v>
      </c>
      <c r="J34" s="48">
        <f>'GAAP IS'!V33</f>
        <v>17348</v>
      </c>
    </row>
    <row r="35" spans="1:10" ht="12.75" x14ac:dyDescent="0.2">
      <c r="A35" s="78" t="s">
        <v>123</v>
      </c>
      <c r="B35" s="3"/>
      <c r="C35" s="64">
        <f t="shared" ref="C35:J35" si="9">C24-C31</f>
        <v>-7352</v>
      </c>
      <c r="D35" s="64">
        <f t="shared" si="9"/>
        <v>-1267</v>
      </c>
      <c r="E35" s="64">
        <f t="shared" si="9"/>
        <v>-4914</v>
      </c>
      <c r="F35" s="64">
        <f t="shared" si="9"/>
        <v>-6875</v>
      </c>
      <c r="G35" s="64">
        <f t="shared" si="9"/>
        <v>-6608</v>
      </c>
      <c r="H35" s="64">
        <f t="shared" si="9"/>
        <v>-6618</v>
      </c>
      <c r="I35" s="64">
        <f t="shared" si="9"/>
        <v>-8102</v>
      </c>
      <c r="J35" s="64">
        <f t="shared" si="9"/>
        <v>-2443</v>
      </c>
    </row>
    <row r="36" spans="1:10" ht="12.75" x14ac:dyDescent="0.2">
      <c r="A36" s="21" t="s">
        <v>124</v>
      </c>
      <c r="B36" s="3"/>
      <c r="C36" s="48">
        <f t="shared" ref="C36:J36" si="10">C25-C32</f>
        <v>-13640</v>
      </c>
      <c r="D36" s="48">
        <f t="shared" si="10"/>
        <v>-1380</v>
      </c>
      <c r="E36" s="48">
        <f t="shared" si="10"/>
        <v>-4953</v>
      </c>
      <c r="F36" s="48">
        <f t="shared" si="10"/>
        <v>3767</v>
      </c>
      <c r="G36" s="48">
        <f t="shared" si="10"/>
        <v>-15434</v>
      </c>
      <c r="H36" s="48">
        <f t="shared" si="10"/>
        <v>5775</v>
      </c>
      <c r="I36" s="48">
        <f t="shared" si="10"/>
        <v>40196</v>
      </c>
      <c r="J36" s="48">
        <f t="shared" si="10"/>
        <v>19791</v>
      </c>
    </row>
    <row r="37" spans="1:10" ht="12.75" x14ac:dyDescent="0.2">
      <c r="A37" s="9"/>
      <c r="B37" s="3"/>
      <c r="C37" s="3"/>
      <c r="D37" s="3"/>
      <c r="E37" s="3"/>
      <c r="F37" s="3"/>
      <c r="G37" s="3"/>
      <c r="H37" s="3"/>
      <c r="I37" s="3"/>
      <c r="J37" s="3"/>
    </row>
    <row r="38" spans="1:10" ht="12.75" x14ac:dyDescent="0.2">
      <c r="A38" s="9" t="s">
        <v>125</v>
      </c>
      <c r="B38" s="3"/>
      <c r="C38" s="48">
        <f>'Non-GAAP IS'!O31</f>
        <v>35894</v>
      </c>
      <c r="D38" s="48">
        <f>'Non-GAAP IS'!P31</f>
        <v>68322</v>
      </c>
      <c r="E38" s="48">
        <f>'Non-GAAP IS'!Q31</f>
        <v>70997</v>
      </c>
      <c r="F38" s="48">
        <f>'Non-GAAP IS'!R31</f>
        <v>81310</v>
      </c>
      <c r="G38" s="48">
        <f>'Non-GAAP IS'!S31</f>
        <v>61697</v>
      </c>
      <c r="H38" s="48">
        <f>'Non-GAAP IS'!T31</f>
        <v>105304</v>
      </c>
      <c r="I38" s="48">
        <f>'Non-GAAP IS'!U31</f>
        <v>131323</v>
      </c>
      <c r="J38" s="48">
        <f>'Non-GAAP IS'!V31</f>
        <v>118529</v>
      </c>
    </row>
    <row r="39" spans="1:10" ht="12.75" x14ac:dyDescent="0.2">
      <c r="A39" s="9" t="str">
        <f>A35</f>
        <v>Caviar operating income (loss)</v>
      </c>
      <c r="B39" s="3"/>
      <c r="C39" s="64">
        <f t="shared" ref="C39:J39" si="11">C35</f>
        <v>-7352</v>
      </c>
      <c r="D39" s="64">
        <f t="shared" si="11"/>
        <v>-1267</v>
      </c>
      <c r="E39" s="64">
        <f t="shared" si="11"/>
        <v>-4914</v>
      </c>
      <c r="F39" s="64">
        <f t="shared" si="11"/>
        <v>-6875</v>
      </c>
      <c r="G39" s="64">
        <f t="shared" si="11"/>
        <v>-6608</v>
      </c>
      <c r="H39" s="64">
        <f t="shared" si="11"/>
        <v>-6618</v>
      </c>
      <c r="I39" s="64">
        <f t="shared" si="11"/>
        <v>-8102</v>
      </c>
      <c r="J39" s="64">
        <f t="shared" si="11"/>
        <v>-2443</v>
      </c>
    </row>
    <row r="40" spans="1:10" ht="12.75" x14ac:dyDescent="0.2">
      <c r="A40" s="9" t="s">
        <v>127</v>
      </c>
      <c r="B40" s="3"/>
      <c r="C40" s="34">
        <v>1734</v>
      </c>
      <c r="D40" s="34">
        <v>1837</v>
      </c>
      <c r="E40" s="34">
        <v>2254</v>
      </c>
      <c r="F40" s="34">
        <v>2293</v>
      </c>
      <c r="G40" s="34">
        <v>2592</v>
      </c>
      <c r="H40" s="23">
        <v>3483</v>
      </c>
      <c r="I40" s="23">
        <v>3729</v>
      </c>
      <c r="J40" s="23">
        <v>-685</v>
      </c>
    </row>
    <row r="41" spans="1:10" ht="12.75" x14ac:dyDescent="0.2">
      <c r="A41" s="9" t="s">
        <v>128</v>
      </c>
      <c r="B41" s="3"/>
      <c r="C41" s="34">
        <v>387</v>
      </c>
      <c r="D41" s="34">
        <v>539</v>
      </c>
      <c r="E41" s="34">
        <v>547</v>
      </c>
      <c r="F41" s="34">
        <v>659</v>
      </c>
      <c r="G41" s="34">
        <v>657</v>
      </c>
      <c r="H41" s="23">
        <v>544</v>
      </c>
      <c r="I41" s="23">
        <v>842</v>
      </c>
      <c r="J41" s="23">
        <v>0</v>
      </c>
    </row>
    <row r="42" spans="1:10" ht="12.75" x14ac:dyDescent="0.2">
      <c r="A42" s="9" t="s">
        <v>129</v>
      </c>
      <c r="B42" s="3"/>
      <c r="C42" s="34">
        <v>152</v>
      </c>
      <c r="D42" s="34">
        <v>-83</v>
      </c>
      <c r="E42" s="34">
        <v>-50</v>
      </c>
      <c r="F42" s="34">
        <v>96</v>
      </c>
      <c r="G42" s="34">
        <v>18</v>
      </c>
      <c r="H42" s="23">
        <v>336</v>
      </c>
      <c r="I42" s="23">
        <v>104</v>
      </c>
      <c r="J42" s="23">
        <v>1018</v>
      </c>
    </row>
    <row r="43" spans="1:10" ht="12.75" x14ac:dyDescent="0.2">
      <c r="A43" s="9" t="s">
        <v>130</v>
      </c>
      <c r="B43" s="3"/>
      <c r="C43" s="23">
        <v>-5079</v>
      </c>
      <c r="D43" s="23">
        <v>1026</v>
      </c>
      <c r="E43" s="23">
        <v>-2163</v>
      </c>
      <c r="F43" s="23">
        <v>-3827</v>
      </c>
      <c r="G43" s="23">
        <v>-3341</v>
      </c>
      <c r="H43" s="23">
        <v>-2155</v>
      </c>
      <c r="I43" s="23">
        <v>-3427</v>
      </c>
      <c r="J43" s="23">
        <v>-2110</v>
      </c>
    </row>
    <row r="44" spans="1:10" ht="12.75" x14ac:dyDescent="0.2">
      <c r="A44" s="21" t="s">
        <v>131</v>
      </c>
      <c r="B44" s="14"/>
      <c r="C44" s="30">
        <f t="shared" ref="C44:J44" si="12">C38-C43</f>
        <v>40973</v>
      </c>
      <c r="D44" s="30">
        <f t="shared" si="12"/>
        <v>67296</v>
      </c>
      <c r="E44" s="30">
        <f t="shared" si="12"/>
        <v>73160</v>
      </c>
      <c r="F44" s="30">
        <f t="shared" si="12"/>
        <v>85137</v>
      </c>
      <c r="G44" s="30">
        <f t="shared" si="12"/>
        <v>65038</v>
      </c>
      <c r="H44" s="30">
        <f t="shared" si="12"/>
        <v>107459</v>
      </c>
      <c r="I44" s="30">
        <f t="shared" si="12"/>
        <v>134750</v>
      </c>
      <c r="J44" s="30">
        <f t="shared" si="12"/>
        <v>120639</v>
      </c>
    </row>
    <row r="45" spans="1:10" ht="12.75" x14ac:dyDescent="0.2">
      <c r="A45" s="9"/>
      <c r="B45" s="3"/>
      <c r="C45" s="3"/>
      <c r="D45" s="3"/>
      <c r="E45" s="3"/>
      <c r="F45" s="3"/>
      <c r="G45" s="3"/>
      <c r="H45" s="3"/>
      <c r="I45" s="3"/>
      <c r="J45" s="3"/>
    </row>
    <row r="46" spans="1:10" ht="12.75" x14ac:dyDescent="0.2">
      <c r="A46" s="70" t="s">
        <v>114</v>
      </c>
      <c r="B46" s="3"/>
      <c r="C46" s="81"/>
      <c r="D46" s="82"/>
      <c r="E46" s="82"/>
      <c r="F46" s="82"/>
      <c r="G46" s="82"/>
      <c r="H46" s="82"/>
      <c r="I46" s="82"/>
      <c r="J46" s="82"/>
    </row>
    <row r="47" spans="1:10" ht="12.75" x14ac:dyDescent="0.2">
      <c r="A47" s="9" t="s">
        <v>88</v>
      </c>
      <c r="B47" s="3"/>
      <c r="C47" s="83"/>
      <c r="D47" s="84"/>
      <c r="E47" s="84"/>
      <c r="F47" s="84"/>
      <c r="G47" s="85">
        <f t="shared" ref="G47:J47" si="13">G7/C7-1</f>
        <v>0.43487091742035267</v>
      </c>
      <c r="H47" s="85">
        <f t="shared" si="13"/>
        <v>0.44089243598899541</v>
      </c>
      <c r="I47" s="85">
        <f t="shared" si="13"/>
        <v>0.43573576024704463</v>
      </c>
      <c r="J47" s="85">
        <f t="shared" si="13"/>
        <v>0.40846065748159832</v>
      </c>
    </row>
    <row r="48" spans="1:10" ht="12.75" x14ac:dyDescent="0.2">
      <c r="A48" s="9" t="s">
        <v>135</v>
      </c>
      <c r="B48" s="3"/>
      <c r="C48" s="83"/>
      <c r="D48" s="84"/>
      <c r="E48" s="84"/>
      <c r="F48" s="84"/>
      <c r="G48" s="85">
        <f t="shared" ref="G48:J48" si="14">G9/C9-1</f>
        <v>0.42377256548553022</v>
      </c>
      <c r="H48" s="85">
        <f t="shared" si="14"/>
        <v>0.45351158274111802</v>
      </c>
      <c r="I48" s="85">
        <f t="shared" si="14"/>
        <v>0.4545871042402303</v>
      </c>
      <c r="J48" s="85">
        <f t="shared" si="14"/>
        <v>0.46173972271163932</v>
      </c>
    </row>
    <row r="49" spans="1:10" ht="12.75" x14ac:dyDescent="0.2">
      <c r="A49" s="9"/>
      <c r="B49" s="3"/>
      <c r="C49" s="83"/>
      <c r="D49" s="83"/>
      <c r="E49" s="83"/>
      <c r="F49" s="83"/>
      <c r="G49" s="86"/>
      <c r="H49" s="86"/>
      <c r="I49" s="86"/>
      <c r="J49" s="86"/>
    </row>
    <row r="50" spans="1:10" ht="12.75" x14ac:dyDescent="0.2">
      <c r="A50" s="49" t="s">
        <v>100</v>
      </c>
      <c r="B50" s="28"/>
      <c r="C50" s="87"/>
      <c r="D50" s="87"/>
      <c r="E50" s="87"/>
      <c r="F50" s="87"/>
      <c r="G50" s="88">
        <f t="shared" ref="G50:I50" si="15">G15/C15-1</f>
        <v>0.5939312952219542</v>
      </c>
      <c r="H50" s="88">
        <f t="shared" si="15"/>
        <v>0.4601759579485929</v>
      </c>
      <c r="I50" s="88">
        <f t="shared" si="15"/>
        <v>0.39681910116529351</v>
      </c>
      <c r="J50" s="88"/>
    </row>
    <row r="51" spans="1:10" ht="12.75" x14ac:dyDescent="0.2">
      <c r="A51" s="49" t="s">
        <v>138</v>
      </c>
      <c r="B51" s="28"/>
      <c r="C51" s="87"/>
      <c r="D51" s="87"/>
      <c r="E51" s="87"/>
      <c r="F51" s="87"/>
      <c r="G51" s="88">
        <f t="shared" ref="G51:I51" si="16">G17/C17-1</f>
        <v>0.58410028959982241</v>
      </c>
      <c r="H51" s="88">
        <f t="shared" si="16"/>
        <v>0.49039040934732836</v>
      </c>
      <c r="I51" s="88">
        <f t="shared" si="16"/>
        <v>0.43344834543471755</v>
      </c>
      <c r="J51" s="88"/>
    </row>
    <row r="52" spans="1:10" ht="12.75" x14ac:dyDescent="0.2">
      <c r="A52" s="9"/>
      <c r="B52" s="3"/>
      <c r="C52" s="83"/>
      <c r="D52" s="83"/>
      <c r="E52" s="83"/>
      <c r="F52" s="83"/>
      <c r="G52" s="86"/>
      <c r="H52" s="86"/>
      <c r="I52" s="86"/>
      <c r="J52" s="86"/>
    </row>
    <row r="53" spans="1:10" ht="12.75" x14ac:dyDescent="0.2">
      <c r="A53" s="9" t="s">
        <v>94</v>
      </c>
      <c r="B53" s="3"/>
      <c r="C53" s="83"/>
      <c r="D53" s="83"/>
      <c r="E53" s="83"/>
      <c r="F53" s="83"/>
      <c r="G53" s="85">
        <f t="shared" ref="G53:J53" si="17">G11/C11-1</f>
        <v>1.2550023698147421</v>
      </c>
      <c r="H53" s="85">
        <f t="shared" si="17"/>
        <v>0.87135604323616112</v>
      </c>
      <c r="I53" s="85">
        <f t="shared" si="17"/>
        <v>0.68348946769913899</v>
      </c>
      <c r="J53" s="85">
        <f t="shared" si="17"/>
        <v>0.44971846875853227</v>
      </c>
    </row>
    <row r="54" spans="1:10" ht="12.75" x14ac:dyDescent="0.2">
      <c r="A54" s="9" t="s">
        <v>139</v>
      </c>
      <c r="B54" s="3"/>
      <c r="C54" s="83"/>
      <c r="D54" s="83"/>
      <c r="E54" s="83"/>
      <c r="F54" s="83"/>
      <c r="G54" s="85">
        <f t="shared" ref="G54:J54" si="18">G13/C13-1</f>
        <v>1.4764963713443988</v>
      </c>
      <c r="H54" s="85">
        <f t="shared" si="18"/>
        <v>1.1353421282275038</v>
      </c>
      <c r="I54" s="85">
        <f t="shared" si="18"/>
        <v>0.88637655978518404</v>
      </c>
      <c r="J54" s="85">
        <f t="shared" si="18"/>
        <v>0.77776072186553113</v>
      </c>
    </row>
    <row r="55" spans="1:10" ht="12.75" x14ac:dyDescent="0.2">
      <c r="A55" s="9"/>
      <c r="B55" s="3"/>
      <c r="C55" s="83"/>
      <c r="D55" s="83"/>
      <c r="E55" s="83"/>
      <c r="F55" s="83"/>
      <c r="G55" s="85"/>
      <c r="H55" s="85"/>
      <c r="I55" s="85"/>
      <c r="J55" s="85"/>
    </row>
    <row r="56" spans="1:10" ht="12.75" x14ac:dyDescent="0.2">
      <c r="A56" s="9" t="s">
        <v>109</v>
      </c>
      <c r="B56" s="3"/>
      <c r="C56" s="83"/>
      <c r="D56" s="83"/>
      <c r="E56" s="83"/>
      <c r="F56" s="83"/>
      <c r="G56" s="85">
        <f t="shared" ref="G56:J56" si="19">G23/C23-1</f>
        <v>0.55486146490574906</v>
      </c>
      <c r="H56" s="85">
        <f t="shared" si="19"/>
        <v>0.47505192897129978</v>
      </c>
      <c r="I56" s="85">
        <f t="shared" si="19"/>
        <v>0.41790109453864921</v>
      </c>
      <c r="J56" s="85">
        <f t="shared" si="19"/>
        <v>0.3867739847495355</v>
      </c>
    </row>
    <row r="57" spans="1:10" ht="12.75" x14ac:dyDescent="0.2">
      <c r="A57" s="9" t="s">
        <v>140</v>
      </c>
      <c r="B57" s="3"/>
      <c r="C57" s="83"/>
      <c r="D57" s="83"/>
      <c r="E57" s="83"/>
      <c r="F57" s="83"/>
      <c r="G57" s="85">
        <f t="shared" ref="G57:J57" si="20">G25/C25-1</f>
        <v>0.54791824010541368</v>
      </c>
      <c r="H57" s="85">
        <f t="shared" si="20"/>
        <v>0.47670806440034208</v>
      </c>
      <c r="I57" s="85">
        <f t="shared" si="20"/>
        <v>0.42140059551410491</v>
      </c>
      <c r="J57" s="85">
        <f t="shared" si="20"/>
        <v>0.41521986353297957</v>
      </c>
    </row>
    <row r="58" spans="1:10" ht="12.75" x14ac:dyDescent="0.2">
      <c r="A58" s="9"/>
      <c r="B58" s="3"/>
      <c r="C58" s="83"/>
      <c r="D58" s="83"/>
      <c r="E58" s="83"/>
      <c r="F58" s="83"/>
      <c r="G58" s="89"/>
      <c r="H58" s="85"/>
      <c r="I58" s="85"/>
      <c r="J58" s="85"/>
    </row>
    <row r="59" spans="1:10" ht="12.75" x14ac:dyDescent="0.2">
      <c r="A59" s="9" t="s">
        <v>141</v>
      </c>
      <c r="B59" s="3"/>
      <c r="C59" s="83"/>
      <c r="D59" s="83"/>
      <c r="E59" s="83"/>
      <c r="F59" s="83"/>
      <c r="G59" s="85">
        <f t="shared" ref="G59:J59" si="21">G38/C38-1</f>
        <v>0.7188666629520255</v>
      </c>
      <c r="H59" s="85">
        <f t="shared" si="21"/>
        <v>0.54128977488949381</v>
      </c>
      <c r="I59" s="85">
        <f t="shared" si="21"/>
        <v>0.84969787455807988</v>
      </c>
      <c r="J59" s="85">
        <f t="shared" si="21"/>
        <v>0.45774197515680726</v>
      </c>
    </row>
    <row r="60" spans="1:10" ht="12.75" x14ac:dyDescent="0.2">
      <c r="A60" s="9" t="s">
        <v>143</v>
      </c>
      <c r="B60" s="3"/>
      <c r="C60" s="83"/>
      <c r="D60" s="83"/>
      <c r="E60" s="83"/>
      <c r="F60" s="83"/>
      <c r="G60" s="85">
        <f t="shared" ref="G60:J60" si="22">G44/C44-1</f>
        <v>0.58733800307519579</v>
      </c>
      <c r="H60" s="85">
        <f t="shared" si="22"/>
        <v>0.5968111031859249</v>
      </c>
      <c r="I60" s="85">
        <f t="shared" si="22"/>
        <v>0.841853471842537</v>
      </c>
      <c r="J60" s="85">
        <f t="shared" si="22"/>
        <v>0.41699848479509494</v>
      </c>
    </row>
    <row r="61" spans="1:10" ht="12.75" x14ac:dyDescent="0.2">
      <c r="A61" s="21"/>
      <c r="B61" s="3"/>
      <c r="C61" s="83"/>
      <c r="D61" s="83"/>
      <c r="E61" s="83"/>
      <c r="F61" s="83"/>
      <c r="G61" s="83"/>
      <c r="H61" s="83"/>
      <c r="I61" s="83"/>
      <c r="J61" s="83"/>
    </row>
    <row r="62" spans="1:10" ht="12.75" x14ac:dyDescent="0.2">
      <c r="A62" s="62" t="s">
        <v>144</v>
      </c>
      <c r="B62" s="3"/>
      <c r="C62" s="82"/>
      <c r="D62" s="82"/>
      <c r="E62" s="82"/>
      <c r="F62" s="82"/>
      <c r="G62" s="82"/>
      <c r="H62" s="82"/>
      <c r="I62" s="82"/>
      <c r="J62" s="82"/>
    </row>
    <row r="63" spans="1:10" ht="36.75" x14ac:dyDescent="0.2">
      <c r="A63" s="62" t="s">
        <v>145</v>
      </c>
      <c r="B63" s="3"/>
      <c r="C63" s="82"/>
      <c r="D63" s="82"/>
      <c r="E63" s="82"/>
      <c r="F63" s="82"/>
      <c r="G63" s="82"/>
      <c r="H63" s="82"/>
      <c r="I63" s="82"/>
      <c r="J63" s="82"/>
    </row>
    <row r="64" spans="1:10" ht="12.75" hidden="1" x14ac:dyDescent="0.2">
      <c r="A64" s="9"/>
      <c r="B64" s="3"/>
      <c r="C64" s="3"/>
      <c r="D64" s="3"/>
      <c r="E64" s="3"/>
      <c r="F64" s="3"/>
      <c r="G64" s="3"/>
      <c r="H64" s="3"/>
      <c r="I64" s="3"/>
      <c r="J64" s="3"/>
    </row>
    <row r="65" spans="1:10" ht="12.75" hidden="1" x14ac:dyDescent="0.2">
      <c r="A65" s="9"/>
      <c r="B65" s="3"/>
      <c r="C65" s="3"/>
      <c r="D65" s="3"/>
      <c r="E65" s="3"/>
      <c r="F65" s="3"/>
      <c r="G65" s="3"/>
      <c r="H65" s="3"/>
      <c r="I65" s="3"/>
      <c r="J65" s="3"/>
    </row>
  </sheetData>
  <mergeCells count="2">
    <mergeCell ref="C4:F4"/>
    <mergeCell ref="G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GAAP IS</vt:lpstr>
      <vt:lpstr>Non-GAAP IS</vt:lpstr>
      <vt:lpstr>Operating Metrics</vt:lpstr>
      <vt:lpstr>Pro Forma ex-Caviar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Tori Bertschy</dc:creator>
  <cp:lastModifiedBy>Tori Bertschy</cp:lastModifiedBy>
  <dcterms:created xsi:type="dcterms:W3CDTF">2020-05-06T18:25:54Z</dcterms:created>
  <dcterms:modified xsi:type="dcterms:W3CDTF">2020-05-06T18:25:54Z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